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08" windowWidth="15120" windowHeight="7080" tabRatio="829" activeTab="0"/>
  </bookViews>
  <sheets>
    <sheet name="Menu" sheetId="1" r:id="rId1"/>
    <sheet name="(1)" sheetId="2" r:id="rId2"/>
    <sheet name="(2)" sheetId="3" r:id="rId3"/>
    <sheet name="(3)" sheetId="4" r:id="rId4"/>
    <sheet name="(4)" sheetId="5" r:id="rId5"/>
    <sheet name="(5)" sheetId="6" r:id="rId6"/>
    <sheet name="(6)" sheetId="7" r:id="rId7"/>
    <sheet name="(7)" sheetId="8" r:id="rId8"/>
    <sheet name="(8)" sheetId="9" r:id="rId9"/>
    <sheet name="(9)" sheetId="10" r:id="rId10"/>
  </sheets>
  <definedNames>
    <definedName name="_xlnm._FilterDatabase" localSheetId="1" hidden="1">'(1)'!$A$3:$M$42</definedName>
    <definedName name="_xlnm._FilterDatabase" localSheetId="2" hidden="1">'(2)'!$A$4:$N$31</definedName>
  </definedNames>
  <calcPr fullCalcOnLoad="1"/>
</workbook>
</file>

<file path=xl/sharedStrings.xml><?xml version="1.0" encoding="utf-8"?>
<sst xmlns="http://schemas.openxmlformats.org/spreadsheetml/2006/main" count="332" uniqueCount="205">
  <si>
    <t>CA de la spécialité (€)</t>
  </si>
  <si>
    <t>Gain d'activité possible</t>
  </si>
  <si>
    <t>Cible</t>
  </si>
  <si>
    <t>Etablissement</t>
  </si>
  <si>
    <t>Allergologie</t>
  </si>
  <si>
    <t>Dermatologie</t>
  </si>
  <si>
    <t>Gynécologie</t>
  </si>
  <si>
    <t>ORL</t>
  </si>
  <si>
    <t>Rhumatologie</t>
  </si>
  <si>
    <t>Urologie</t>
  </si>
  <si>
    <t>Endocrinologie</t>
  </si>
  <si>
    <t>Gastro-entérologie</t>
  </si>
  <si>
    <t>Médecine du sport</t>
  </si>
  <si>
    <t>Neurologie</t>
  </si>
  <si>
    <t>Ophtalmologie</t>
  </si>
  <si>
    <t>Pédiatrie</t>
  </si>
  <si>
    <t>Psychiatrie</t>
  </si>
  <si>
    <t>CA cible</t>
  </si>
  <si>
    <t>% d'impayés total</t>
  </si>
  <si>
    <t>Gain impayés</t>
  </si>
  <si>
    <t>Ratio administratif / médecin</t>
  </si>
  <si>
    <t>Ratio AD / dentiste</t>
  </si>
  <si>
    <t>Ratio MER / radiologue</t>
  </si>
  <si>
    <t>Cible administratif / médecin</t>
  </si>
  <si>
    <t>Cible AD / dentiste</t>
  </si>
  <si>
    <t>Cible MER / radiologue</t>
  </si>
  <si>
    <t>Gains administratifs / médecin</t>
  </si>
  <si>
    <t>Gains AD / dentiste</t>
  </si>
  <si>
    <t>Gains MER / radiologue</t>
  </si>
  <si>
    <t>CA actuel</t>
  </si>
  <si>
    <t>Dentaire</t>
  </si>
  <si>
    <t>% de RDV annulés</t>
  </si>
  <si>
    <t>Nb de RDV réalisés</t>
  </si>
  <si>
    <t>Nb de RDV annulés</t>
  </si>
  <si>
    <t>Spécialité</t>
  </si>
  <si>
    <t>Médecine générale</t>
  </si>
  <si>
    <t>Nb de consult° sans rdv</t>
  </si>
  <si>
    <t>% de RDV non honorés</t>
  </si>
  <si>
    <t>Nb de RDV non honorés</t>
  </si>
  <si>
    <t>% de RDV réattribués</t>
  </si>
  <si>
    <t>Nb de RDV planifiés honorés</t>
  </si>
  <si>
    <t>Somme des gains possibles</t>
  </si>
  <si>
    <t>Délai moyen d'annulation (en j)</t>
  </si>
  <si>
    <t>-</t>
  </si>
  <si>
    <t>Nb actes NGAP</t>
  </si>
  <si>
    <t>Recette totale NGAP</t>
  </si>
  <si>
    <t>Nb actes CCAM</t>
  </si>
  <si>
    <t>Recette totale CCAM</t>
  </si>
  <si>
    <t>Nb actes total</t>
  </si>
  <si>
    <t>Recette totale</t>
  </si>
  <si>
    <t>% d'actes CCAM</t>
  </si>
  <si>
    <t>Angiologie</t>
  </si>
  <si>
    <t>Cardiologie</t>
  </si>
  <si>
    <t>Pneumologie</t>
  </si>
  <si>
    <t>Panier moyen</t>
  </si>
  <si>
    <t>Gain possible</t>
  </si>
  <si>
    <t>Nombre d'heures d'ouverture au public par semaine</t>
  </si>
  <si>
    <t>C1</t>
  </si>
  <si>
    <t>C2</t>
  </si>
  <si>
    <t>% d'occupation des cabinets polyvalents</t>
  </si>
  <si>
    <t xml:space="preserve">Total heures disponibles </t>
  </si>
  <si>
    <t>Total heures non pourvues</t>
  </si>
  <si>
    <t>Taux d'occupation</t>
  </si>
  <si>
    <t>Total ETP supplémentaire</t>
  </si>
  <si>
    <t>CA horaire actuel moyen</t>
  </si>
  <si>
    <t>Ca horaire actuel (Dentiste)</t>
  </si>
  <si>
    <t>Dentaire 1</t>
  </si>
  <si>
    <t>Dentaire 2</t>
  </si>
  <si>
    <t>Total d'heures disponibles</t>
  </si>
  <si>
    <t>Total d'heures non pourvues</t>
  </si>
  <si>
    <t>Chiffre d'affaire cible service dentaire</t>
  </si>
  <si>
    <t>Radio 1</t>
  </si>
  <si>
    <t>Radio 2</t>
  </si>
  <si>
    <t>Montant des rejets organismes</t>
  </si>
  <si>
    <t>Masse salariale dédiée au Tiers payant</t>
  </si>
  <si>
    <t>Nombre de passages (ou de factures)</t>
  </si>
  <si>
    <t>Chiffre d'affaire total</t>
  </si>
  <si>
    <t>Coût du Tiers Payant</t>
  </si>
  <si>
    <t>Coût du Tiers Payant par facture</t>
  </si>
  <si>
    <t>Année 1</t>
  </si>
  <si>
    <t>Année 2</t>
  </si>
  <si>
    <t>Année 3</t>
  </si>
  <si>
    <t>Année 4</t>
  </si>
  <si>
    <t>Médecine</t>
  </si>
  <si>
    <t>TOTAL</t>
  </si>
  <si>
    <t>Dentaires Prothèses</t>
  </si>
  <si>
    <t>Chiffre d'affaire</t>
  </si>
  <si>
    <t>Achats</t>
  </si>
  <si>
    <t>Ratio Actuel</t>
  </si>
  <si>
    <t>Dentaire Soins (consommables)</t>
  </si>
  <si>
    <t>Médecine Générale (consommables)</t>
  </si>
  <si>
    <t>Spécialités (consommables)</t>
  </si>
  <si>
    <t>Imagerie (consommables)</t>
  </si>
  <si>
    <t>Laboratoire (consommables)</t>
  </si>
  <si>
    <t>Identification du fauteuil dentaire</t>
  </si>
  <si>
    <t>Nombre de fauteuils dentaires total</t>
  </si>
  <si>
    <t>Temps approximatif passé par acte (en heures)</t>
  </si>
  <si>
    <t>CA horaire</t>
  </si>
  <si>
    <t>Dentaire 3</t>
  </si>
  <si>
    <t>Dentaire 4</t>
  </si>
  <si>
    <t>CA moyen par acte</t>
  </si>
  <si>
    <t>C3</t>
  </si>
  <si>
    <t>C4</t>
  </si>
  <si>
    <t>C5</t>
  </si>
  <si>
    <t>C6</t>
  </si>
  <si>
    <t>TX D'OCCUPATION</t>
  </si>
  <si>
    <t>HEURES LIBRES</t>
  </si>
  <si>
    <t>Consultations sans RV</t>
  </si>
  <si>
    <t>Imagerie</t>
  </si>
  <si>
    <t>Kinésithérapie</t>
  </si>
  <si>
    <t>Laboratoire</t>
  </si>
  <si>
    <t>Orthophonie</t>
  </si>
  <si>
    <t>Orthoptie</t>
  </si>
  <si>
    <t>Pédicurie</t>
  </si>
  <si>
    <t>Prélèvements</t>
  </si>
  <si>
    <t>Soins infirmiers</t>
  </si>
  <si>
    <t>Tabacco - Nutrition</t>
  </si>
  <si>
    <t>TOTAL D'HEURES D'OCCUPATION</t>
  </si>
  <si>
    <t>F1</t>
  </si>
  <si>
    <r>
      <t xml:space="preserve">Cabinets médicaux </t>
    </r>
    <r>
      <rPr>
        <i/>
        <u val="single"/>
        <sz val="10"/>
        <color indexed="8"/>
        <rFont val="Calibri"/>
        <family val="2"/>
      </rPr>
      <t xml:space="preserve">(cabinet, fauteuil dentaire, box, etc.) </t>
    </r>
  </si>
  <si>
    <t>NB heures d'ouverture hebdomadaire</t>
  </si>
  <si>
    <t>NB de passages par mois</t>
  </si>
  <si>
    <t>NB moyen de patients par heure</t>
  </si>
  <si>
    <t>Adhésion initiale (1er versement)</t>
  </si>
  <si>
    <t>Adhésion initiale (2e versement)</t>
  </si>
  <si>
    <t>File active en médecine générale et dentaire</t>
  </si>
  <si>
    <t>Nb de nouveaux patients entrant dans la file active par an</t>
  </si>
  <si>
    <t>Nombre d'adhésions 1ère année (estimée 25% ou réelle)</t>
  </si>
  <si>
    <t>Adhésions estimées pour les années suivantes (25%)</t>
  </si>
  <si>
    <t xml:space="preserve">Montant unitaire </t>
  </si>
  <si>
    <t xml:space="preserve">TOTAL </t>
  </si>
  <si>
    <t xml:space="preserve">Total Médecine </t>
  </si>
  <si>
    <t>Total Dentaire</t>
  </si>
  <si>
    <t>PATIENTELE</t>
  </si>
  <si>
    <t>SUBVENTION</t>
  </si>
  <si>
    <t>CHARGES 62%</t>
  </si>
  <si>
    <t xml:space="preserve">TOTAL / AN </t>
  </si>
  <si>
    <t>Discipline</t>
  </si>
  <si>
    <r>
      <t>Recette moyenne par acte</t>
    </r>
    <r>
      <rPr>
        <b/>
        <sz val="12"/>
        <color indexed="17"/>
        <rFont val="Calibri"/>
        <family val="2"/>
      </rPr>
      <t>**</t>
    </r>
  </si>
  <si>
    <r>
      <t>% activité</t>
    </r>
    <r>
      <rPr>
        <b/>
        <sz val="12"/>
        <color indexed="17"/>
        <rFont val="Calibri"/>
        <family val="2"/>
      </rPr>
      <t>**</t>
    </r>
  </si>
  <si>
    <t>Ecart par rapport à la cible (90%)</t>
  </si>
  <si>
    <t>Activité liée à la POSE DE PROTHESES</t>
  </si>
  <si>
    <t>Activité liée aux SOINS DENTAIRES</t>
  </si>
  <si>
    <t>% du CA</t>
  </si>
  <si>
    <t>Chiffre d'affaire annuel</t>
  </si>
  <si>
    <t>Nombre d'actes annuel</t>
  </si>
  <si>
    <t>% Nombre d'actes total</t>
  </si>
  <si>
    <t>Renouvellemt</t>
  </si>
  <si>
    <r>
      <t>NB de patients de la file active concernés</t>
    </r>
    <r>
      <rPr>
        <b/>
        <sz val="12"/>
        <color indexed="17"/>
        <rFont val="Arial"/>
        <family val="2"/>
      </rPr>
      <t>**</t>
    </r>
  </si>
  <si>
    <r>
      <t xml:space="preserve">COMPENSATION </t>
    </r>
    <r>
      <rPr>
        <i/>
        <sz val="10"/>
        <rFont val="Arial"/>
        <family val="2"/>
      </rPr>
      <t>(Exemple avec 25%)</t>
    </r>
  </si>
  <si>
    <r>
      <t>Cible coût du tiers payant par facture 
(Masse salariale seule)</t>
    </r>
    <r>
      <rPr>
        <b/>
        <sz val="12"/>
        <color indexed="17"/>
        <rFont val="Calibri"/>
        <family val="2"/>
      </rPr>
      <t>**</t>
    </r>
  </si>
  <si>
    <r>
      <t>Cible coût du tiers payant par facture
(Masse salariale + Montant des impayés et rejets)</t>
    </r>
    <r>
      <rPr>
        <b/>
        <sz val="12"/>
        <color indexed="17"/>
        <rFont val="Calibri"/>
        <family val="2"/>
      </rPr>
      <t>**</t>
    </r>
  </si>
  <si>
    <r>
      <t>Cible % d'impayés total</t>
    </r>
    <r>
      <rPr>
        <b/>
        <sz val="12"/>
        <color indexed="17"/>
        <rFont val="Calibri"/>
        <family val="2"/>
      </rPr>
      <t>**</t>
    </r>
  </si>
  <si>
    <r>
      <t>Ratios d'achats cibles</t>
    </r>
    <r>
      <rPr>
        <b/>
        <sz val="12"/>
        <color indexed="17"/>
        <rFont val="Calibri"/>
        <family val="2"/>
      </rPr>
      <t>**</t>
    </r>
  </si>
  <si>
    <t>Gains possibles</t>
  </si>
  <si>
    <t>Présentation du document</t>
  </si>
  <si>
    <t>Objectifs du document</t>
  </si>
  <si>
    <t>Méthodologie</t>
  </si>
  <si>
    <r>
      <rPr>
        <u val="single"/>
        <sz val="11"/>
        <rFont val="Arial"/>
        <family val="2"/>
      </rPr>
      <t>Pour toute information ou question, vous pouvez contacter :</t>
    </r>
    <r>
      <rPr>
        <sz val="11"/>
        <rFont val="Arial"/>
        <family val="2"/>
      </rPr>
      <t xml:space="preserve">
Benjamin Soudier  : 06 60 26 21 72 –  bsoudier@referis.net 
Lorie Pantani  : 06 28 94 22 83 –  lpantani@referis.net
Bureau   : 01 47 45 43 75 – contact@referis.net 
FAX   : 01 47 45 37 99 </t>
    </r>
  </si>
  <si>
    <t>ARS Ile de France
Outil d'aide au calcul d'indicateurs d'activité à destination des Centres de Santé polyvalents</t>
  </si>
  <si>
    <t>XXX</t>
  </si>
  <si>
    <t>YYY</t>
  </si>
  <si>
    <t>numéro de téléphone - email</t>
  </si>
  <si>
    <t>Nombre d'heures de présence d'un praticien hebdomadaire</t>
  </si>
  <si>
    <t>Nombre d'heures de vacation non pourvues</t>
  </si>
  <si>
    <t>** Dans chacun des onglets, les cellules "orange" sont à renseigner avec les valeurs annuelles (ou hebdomadaires lorsque la précision est indiquée) relatives au Centre de Santé</t>
  </si>
  <si>
    <t>** Dans chacun des onglets, les cellules "gris clair" contiennent des formules de calcul automatique</t>
  </si>
  <si>
    <t>** Dans chacun des onglets, les cellules "gris clair" contenant des montants en orange contiennent des formules de calcul automatique des gains possibles</t>
  </si>
  <si>
    <t xml:space="preserve">** L’ARS Ile de France, en partenariat avec le Comité Interministériel des Villes (CIV), a engagé en 2012 une mission d’accompagnement des centres de santé de la petite couronne pour améliorer leur organisation et sécuriser leur pérennisation.
** L’action a porté sur 30 centres regroupés dans les trois départements des Hauts de Seine, de la Seine Saint-Denis et du Val de Marne, visant à :
                  - soutenir individuellement et de façon pragmatique les centres en dégageant des préconisations d’évolutions susceptibles de favoriser leur viabilité économique, 
                  - élaborer une boîte à outils sur laquelle les centres pourraient s’appuyer pour améliorer leur fonctionnement et leur organisation. 
** Onze bonnes pratiques ont été identifiées pendant l’étude qui sont considérées comme autant de leviers pour améliorer l’équilibre économique des centres. </t>
  </si>
  <si>
    <r>
      <t xml:space="preserve">** Un des constats à l’issu du troisième trimestre 2013 a porté sur les difficultés à mettre en œuvre de systèmes d’informations et qui se traduisent par un faible suivi des actions par des indicateurs quantitatifs et réguliers.
** Les onglets (1) à (9) du présent document présentent des outils d'aide au calcul d'indicateurs relatifs aux </t>
    </r>
    <r>
      <rPr>
        <b/>
        <u val="single"/>
        <sz val="11"/>
        <rFont val="Arial"/>
        <family val="2"/>
      </rPr>
      <t>neuf leviers</t>
    </r>
    <r>
      <rPr>
        <sz val="11"/>
        <rFont val="Arial"/>
        <family val="2"/>
      </rPr>
      <t xml:space="preserve"> validés par l'ensemble des centres de l'étude parmi les onze identifiés :
</t>
    </r>
  </si>
  <si>
    <t>(1) Maîtrise du taux de non-venue des patients</t>
  </si>
  <si>
    <t>(2) Optimisation du Codage</t>
  </si>
  <si>
    <t>(3) Amélioration du taux d'occupation</t>
  </si>
  <si>
    <t>(4) Optimisation du service dentaire</t>
  </si>
  <si>
    <t>(5) Optimisation du service imagerie</t>
  </si>
  <si>
    <t>(7) Réduction du coût lié à la gestion du Tiers Payant</t>
  </si>
  <si>
    <t>(9) Amélioration des achats</t>
  </si>
  <si>
    <t>(8) Maîtrise des ratios de personnels</t>
  </si>
  <si>
    <t>(6) Mise en place de l'option de coordination</t>
  </si>
  <si>
    <t xml:space="preserve"> (1) Maîtrise du taux de non venue</t>
  </si>
  <si>
    <t>(2) Optimisation du codage</t>
  </si>
  <si>
    <t>(5) Optimisation du service d'imagerie</t>
  </si>
  <si>
    <t>Nombre d'ETP</t>
  </si>
  <si>
    <t>Masse salariale</t>
  </si>
  <si>
    <t>Assistantes Dentaires</t>
  </si>
  <si>
    <t>Manipulateurs Radio</t>
  </si>
  <si>
    <t>Praticiens : Médecine générale + Spécialités</t>
  </si>
  <si>
    <t>Auxiliaires médicaux</t>
  </si>
  <si>
    <t>Dentistes</t>
  </si>
  <si>
    <t>Radiologues</t>
  </si>
  <si>
    <t>Administratifs (non-médicaux sans AD, MER, secrétaire médicale)</t>
  </si>
  <si>
    <t>Nombre d'actes/ heure/ fauteuil</t>
  </si>
  <si>
    <t>Nombre d'actes/ semaine/ fauteuil</t>
  </si>
  <si>
    <t>Identification de la salle d'imagerie</t>
  </si>
  <si>
    <t>Radio 3</t>
  </si>
  <si>
    <t>Nombre de cabinets d'imagerietotal</t>
  </si>
  <si>
    <t>Activité</t>
  </si>
  <si>
    <t>Ca horaire actuel</t>
  </si>
  <si>
    <t>Chiffre d'affaire cible service d'imagerie</t>
  </si>
  <si>
    <t>Nombre d'actes/ semaine/ cabinet</t>
  </si>
  <si>
    <t>Nombre d'actes/ heure/ cabinet</t>
  </si>
  <si>
    <t>Montant des impayés patients</t>
  </si>
  <si>
    <t>BP</t>
  </si>
  <si>
    <t>B1</t>
  </si>
  <si>
    <t>F2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</si>
</sst>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-40C]_-;\-* #,##0.00\ [$€-40C]_-;_-* &quot;-&quot;??\ [$€-40C]_-;_-@_-"/>
    <numFmt numFmtId="165" formatCode="_-* #,##0\ &quot;€&quot;_-;\-* #,##0\ &quot;€&quot;_-;_-* &quot;-&quot;??\ &quot;€&quot;_-;_-@_-"/>
    <numFmt numFmtId="166" formatCode="#,##0.00\ &quot;€&quot;"/>
    <numFmt numFmtId="167" formatCode="_-* #,##0\ _€_-;\-* #,##0\ _€_-;_-* &quot;-&quot;??\ _€_-;_-@_-"/>
  </numFmts>
  <fonts count="10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i/>
      <sz val="10"/>
      <color indexed="56"/>
      <name val="Calibri"/>
      <family val="2"/>
    </font>
    <font>
      <b/>
      <i/>
      <sz val="10"/>
      <color indexed="56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11"/>
      <color indexed="1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10"/>
      <name val="Calibri"/>
      <family val="2"/>
    </font>
    <font>
      <sz val="11"/>
      <color indexed="56"/>
      <name val="Calibri"/>
      <family val="2"/>
    </font>
    <font>
      <i/>
      <sz val="11"/>
      <color indexed="56"/>
      <name val="Calibri"/>
      <family val="2"/>
    </font>
    <font>
      <sz val="12"/>
      <color indexed="8"/>
      <name val="Calibri"/>
      <family val="2"/>
    </font>
    <font>
      <i/>
      <u val="single"/>
      <sz val="10"/>
      <color indexed="8"/>
      <name val="Calibri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b/>
      <i/>
      <u val="single"/>
      <sz val="10"/>
      <color indexed="17"/>
      <name val="Calibri"/>
      <family val="2"/>
    </font>
    <font>
      <b/>
      <i/>
      <sz val="10"/>
      <color indexed="17"/>
      <name val="Calibri"/>
      <family val="2"/>
    </font>
    <font>
      <i/>
      <sz val="10"/>
      <color indexed="8"/>
      <name val="Calibri"/>
      <family val="2"/>
    </font>
    <font>
      <b/>
      <sz val="14"/>
      <color indexed="8"/>
      <name val="Calibri"/>
      <family val="2"/>
    </font>
    <font>
      <i/>
      <sz val="10"/>
      <color indexed="18"/>
      <name val="Calibri"/>
      <family val="2"/>
    </font>
    <font>
      <b/>
      <i/>
      <sz val="10"/>
      <color indexed="18"/>
      <name val="Calibri"/>
      <family val="2"/>
    </font>
    <font>
      <b/>
      <sz val="12"/>
      <color indexed="17"/>
      <name val="Calibri"/>
      <family val="2"/>
    </font>
    <font>
      <i/>
      <sz val="10"/>
      <name val="Calibri"/>
      <family val="2"/>
    </font>
    <font>
      <sz val="12"/>
      <name val="Calibri"/>
      <family val="2"/>
    </font>
    <font>
      <sz val="14"/>
      <color indexed="8"/>
      <name val="Calibri"/>
      <family val="2"/>
    </font>
    <font>
      <b/>
      <sz val="10"/>
      <color indexed="52"/>
      <name val="Arial"/>
      <family val="2"/>
    </font>
    <font>
      <u val="single"/>
      <sz val="11"/>
      <color indexed="12"/>
      <name val="Calibri"/>
      <family val="2"/>
    </font>
    <font>
      <b/>
      <sz val="12"/>
      <color indexed="17"/>
      <name val="Arial"/>
      <family val="2"/>
    </font>
    <font>
      <sz val="8.5"/>
      <name val="Arial"/>
      <family val="2"/>
    </font>
    <font>
      <i/>
      <sz val="10"/>
      <name val="Arial"/>
      <family val="2"/>
    </font>
    <font>
      <b/>
      <u val="single"/>
      <sz val="14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sz val="11"/>
      <color indexed="8"/>
      <name val="Arial"/>
      <family val="2"/>
    </font>
    <font>
      <b/>
      <sz val="2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i/>
      <sz val="11"/>
      <color indexed="17"/>
      <name val="Calibri"/>
      <family val="0"/>
    </font>
    <font>
      <sz val="8"/>
      <name val="Tahoma"/>
      <family val="2"/>
    </font>
    <font>
      <b/>
      <i/>
      <sz val="12"/>
      <color indexed="17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i/>
      <sz val="11"/>
      <color theme="4" tint="-0.4999699890613556"/>
      <name val="Calibri"/>
      <family val="2"/>
    </font>
    <font>
      <b/>
      <sz val="12"/>
      <color theme="1"/>
      <name val="Calibri"/>
      <family val="2"/>
    </font>
    <font>
      <i/>
      <sz val="11"/>
      <color theme="3" tint="-0.4999699890613556"/>
      <name val="Calibri"/>
      <family val="2"/>
    </font>
    <font>
      <b/>
      <i/>
      <u val="single"/>
      <sz val="10"/>
      <color rgb="FF00B050"/>
      <name val="Calibri"/>
      <family val="2"/>
    </font>
    <font>
      <b/>
      <i/>
      <sz val="10"/>
      <color rgb="FF00B050"/>
      <name val="Calibri"/>
      <family val="2"/>
    </font>
    <font>
      <i/>
      <sz val="10"/>
      <color theme="3"/>
      <name val="Calibri"/>
      <family val="2"/>
    </font>
    <font>
      <b/>
      <i/>
      <sz val="10"/>
      <color theme="3"/>
      <name val="Calibri"/>
      <family val="2"/>
    </font>
    <font>
      <b/>
      <sz val="10"/>
      <color rgb="FF3F3F3F"/>
      <name val="Calibri"/>
      <family val="2"/>
    </font>
    <font>
      <i/>
      <sz val="10"/>
      <color theme="1"/>
      <name val="Calibri"/>
      <family val="2"/>
    </font>
    <font>
      <sz val="10"/>
      <color rgb="FF3F3F76"/>
      <name val="Calibri"/>
      <family val="2"/>
    </font>
    <font>
      <sz val="12"/>
      <color theme="1"/>
      <name val="Calibri"/>
      <family val="2"/>
    </font>
    <font>
      <i/>
      <sz val="10"/>
      <color theme="4" tint="-0.4999699890613556"/>
      <name val="Calibri"/>
      <family val="2"/>
    </font>
    <font>
      <b/>
      <i/>
      <sz val="10"/>
      <color theme="4" tint="-0.4999699890613556"/>
      <name val="Calibri"/>
      <family val="2"/>
    </font>
    <font>
      <b/>
      <sz val="10"/>
      <color theme="1"/>
      <name val="Calibri"/>
      <family val="2"/>
    </font>
    <font>
      <sz val="11"/>
      <color theme="3" tint="-0.4999699890613556"/>
      <name val="Calibri"/>
      <family val="2"/>
    </font>
    <font>
      <sz val="14"/>
      <color theme="1"/>
      <name val="Calibri"/>
      <family val="2"/>
    </font>
    <font>
      <b/>
      <sz val="10"/>
      <color rgb="FFFA7D00"/>
      <name val="Arial"/>
      <family val="2"/>
    </font>
    <font>
      <i/>
      <sz val="11"/>
      <color theme="3"/>
      <name val="Calibri"/>
      <family val="2"/>
    </font>
    <font>
      <sz val="11"/>
      <color theme="1"/>
      <name val="Arial"/>
      <family val="2"/>
    </font>
    <font>
      <b/>
      <sz val="22"/>
      <color theme="1"/>
      <name val="Calibri"/>
      <family val="2"/>
    </font>
    <font>
      <b/>
      <sz val="14"/>
      <color theme="1"/>
      <name val="Calibri"/>
      <family val="2"/>
    </font>
    <font>
      <sz val="9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5" tint="-0.499969989061355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>
        <color rgb="FF3F3F3F"/>
      </left>
      <right style="thin">
        <color rgb="FF3F3F3F"/>
      </right>
      <top/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/>
      <top/>
      <bottom style="medium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6" borderId="1" applyNumberFormat="0" applyAlignment="0" applyProtection="0"/>
    <xf numFmtId="0" fontId="65" fillId="0" borderId="2" applyNumberFormat="0" applyFill="0" applyAlignment="0" applyProtection="0"/>
    <xf numFmtId="0" fontId="0" fillId="27" borderId="3" applyNumberFormat="0" applyFont="0" applyAlignment="0" applyProtection="0"/>
    <xf numFmtId="0" fontId="66" fillId="28" borderId="1" applyNumberFormat="0" applyAlignment="0" applyProtection="0"/>
    <xf numFmtId="0" fontId="67" fillId="29" borderId="0" applyNumberFormat="0" applyBorder="0" applyAlignment="0" applyProtection="0"/>
    <xf numFmtId="0" fontId="6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30" borderId="0" applyNumberFormat="0" applyBorder="0" applyAlignment="0" applyProtection="0"/>
    <xf numFmtId="9" fontId="0" fillId="0" borderId="0" applyFont="0" applyFill="0" applyBorder="0" applyAlignment="0" applyProtection="0"/>
    <xf numFmtId="0" fontId="70" fillId="31" borderId="0" applyNumberFormat="0" applyBorder="0" applyAlignment="0" applyProtection="0"/>
    <xf numFmtId="0" fontId="71" fillId="26" borderId="4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5" applyNumberFormat="0" applyFill="0" applyAlignment="0" applyProtection="0"/>
    <xf numFmtId="0" fontId="75" fillId="0" borderId="6" applyNumberFormat="0" applyFill="0" applyAlignment="0" applyProtection="0"/>
    <xf numFmtId="0" fontId="76" fillId="0" borderId="7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8" applyNumberFormat="0" applyFill="0" applyAlignment="0" applyProtection="0"/>
    <xf numFmtId="0" fontId="78" fillId="32" borderId="9" applyNumberFormat="0" applyAlignment="0" applyProtection="0"/>
  </cellStyleXfs>
  <cellXfs count="264">
    <xf numFmtId="0" fontId="0" fillId="0" borderId="0" xfId="0" applyFont="1" applyAlignment="1">
      <alignment/>
    </xf>
    <xf numFmtId="0" fontId="64" fillId="26" borderId="1" xfId="40" applyAlignment="1">
      <alignment horizontal="center" vertical="center" wrapText="1"/>
    </xf>
    <xf numFmtId="44" fontId="64" fillId="26" borderId="1" xfId="40" applyNumberFormat="1" applyAlignment="1">
      <alignment vertical="center"/>
    </xf>
    <xf numFmtId="0" fontId="0" fillId="0" borderId="0" xfId="0" applyAlignment="1">
      <alignment vertical="center"/>
    </xf>
    <xf numFmtId="0" fontId="65" fillId="0" borderId="2" xfId="41" applyAlignment="1">
      <alignment/>
    </xf>
    <xf numFmtId="44" fontId="65" fillId="0" borderId="2" xfId="48" applyFont="1" applyBorder="1" applyAlignment="1">
      <alignment/>
    </xf>
    <xf numFmtId="10" fontId="65" fillId="0" borderId="2" xfId="51" applyNumberFormat="1" applyFon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/>
    </xf>
    <xf numFmtId="0" fontId="79" fillId="0" borderId="0" xfId="0" applyFont="1" applyFill="1" applyAlignment="1">
      <alignment/>
    </xf>
    <xf numFmtId="9" fontId="0" fillId="33" borderId="10" xfId="51" applyFont="1" applyFill="1" applyBorder="1" applyAlignment="1">
      <alignment horizontal="center" vertical="center"/>
    </xf>
    <xf numFmtId="0" fontId="13" fillId="0" borderId="0" xfId="0" applyFont="1" applyFill="1" applyAlignment="1">
      <alignment/>
    </xf>
    <xf numFmtId="0" fontId="80" fillId="7" borderId="10" xfId="43" applyNumberFormat="1" applyFont="1" applyFill="1" applyBorder="1" applyAlignment="1" applyProtection="1">
      <alignment horizontal="center" vertical="center" wrapText="1"/>
      <protection locked="0"/>
    </xf>
    <xf numFmtId="0" fontId="79" fillId="34" borderId="10" xfId="0" applyFont="1" applyFill="1" applyBorder="1" applyAlignment="1">
      <alignment horizontal="right" vertical="center" wrapText="1"/>
    </xf>
    <xf numFmtId="0" fontId="80" fillId="33" borderId="10" xfId="43" applyNumberFormat="1" applyFont="1" applyFill="1" applyBorder="1" applyAlignment="1" applyProtection="1">
      <alignment horizontal="center" vertical="center" wrapText="1"/>
      <protection locked="0"/>
    </xf>
    <xf numFmtId="9" fontId="80" fillId="33" borderId="10" xfId="5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>
      <alignment/>
    </xf>
    <xf numFmtId="0" fontId="64" fillId="26" borderId="10" xfId="40" applyBorder="1" applyAlignment="1">
      <alignment horizontal="center" vertical="center" wrapText="1"/>
    </xf>
    <xf numFmtId="166" fontId="64" fillId="26" borderId="10" xfId="40" applyNumberFormat="1" applyBorder="1" applyAlignment="1">
      <alignment vertical="center"/>
    </xf>
    <xf numFmtId="0" fontId="12" fillId="0" borderId="0" xfId="0" applyFont="1" applyAlignment="1">
      <alignment/>
    </xf>
    <xf numFmtId="0" fontId="12" fillId="34" borderId="10" xfId="43" applyFont="1" applyFill="1" applyBorder="1" applyAlignment="1">
      <alignment horizontal="right" vertical="center" wrapText="1"/>
    </xf>
    <xf numFmtId="0" fontId="81" fillId="0" borderId="0" xfId="0" applyFont="1" applyFill="1" applyBorder="1" applyAlignment="1">
      <alignment horizontal="center" vertical="center"/>
    </xf>
    <xf numFmtId="0" fontId="63" fillId="0" borderId="0" xfId="0" applyFont="1" applyAlignment="1">
      <alignment/>
    </xf>
    <xf numFmtId="0" fontId="0" fillId="0" borderId="0" xfId="0" applyFont="1" applyAlignment="1">
      <alignment/>
    </xf>
    <xf numFmtId="166" fontId="82" fillId="33" borderId="10" xfId="51" applyNumberFormat="1" applyFont="1" applyFill="1" applyBorder="1" applyAlignment="1" applyProtection="1">
      <alignment horizontal="center" vertical="center" wrapText="1"/>
      <protection locked="0"/>
    </xf>
    <xf numFmtId="0" fontId="0" fillId="33" borderId="10" xfId="0" applyFont="1" applyFill="1" applyBorder="1" applyAlignment="1">
      <alignment horizontal="center" vertical="center"/>
    </xf>
    <xf numFmtId="0" fontId="79" fillId="34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/>
    </xf>
    <xf numFmtId="9" fontId="0" fillId="33" borderId="10" xfId="51" applyFont="1" applyFill="1" applyBorder="1" applyAlignment="1">
      <alignment horizontal="center"/>
    </xf>
    <xf numFmtId="0" fontId="0" fillId="0" borderId="0" xfId="0" applyAlignment="1">
      <alignment horizontal="center"/>
    </xf>
    <xf numFmtId="0" fontId="77" fillId="34" borderId="10" xfId="0" applyFont="1" applyFill="1" applyBorder="1" applyAlignment="1">
      <alignment horizontal="center" vertical="center"/>
    </xf>
    <xf numFmtId="0" fontId="81" fillId="34" borderId="10" xfId="0" applyFont="1" applyFill="1" applyBorder="1" applyAlignment="1">
      <alignment horizontal="right" vertical="center" wrapText="1"/>
    </xf>
    <xf numFmtId="0" fontId="77" fillId="34" borderId="10" xfId="0" applyFont="1" applyFill="1" applyBorder="1" applyAlignment="1">
      <alignment horizontal="center" vertical="center" wrapText="1"/>
    </xf>
    <xf numFmtId="0" fontId="81" fillId="35" borderId="0" xfId="0" applyFont="1" applyFill="1" applyBorder="1" applyAlignment="1">
      <alignment horizontal="center" vertical="center"/>
    </xf>
    <xf numFmtId="0" fontId="0" fillId="35" borderId="0" xfId="0" applyFill="1" applyBorder="1" applyAlignment="1">
      <alignment horizontal="center"/>
    </xf>
    <xf numFmtId="9" fontId="0" fillId="35" borderId="0" xfId="51" applyFont="1" applyFill="1" applyBorder="1" applyAlignment="1">
      <alignment horizontal="center"/>
    </xf>
    <xf numFmtId="0" fontId="0" fillId="35" borderId="0" xfId="0" applyFill="1" applyBorder="1" applyAlignment="1">
      <alignment/>
    </xf>
    <xf numFmtId="0" fontId="77" fillId="35" borderId="0" xfId="0" applyFont="1" applyFill="1" applyBorder="1" applyAlignment="1">
      <alignment horizontal="center" vertical="center"/>
    </xf>
    <xf numFmtId="2" fontId="0" fillId="33" borderId="10" xfId="0" applyNumberFormat="1" applyFill="1" applyBorder="1" applyAlignment="1">
      <alignment horizontal="center"/>
    </xf>
    <xf numFmtId="0" fontId="18" fillId="0" borderId="0" xfId="0" applyFont="1" applyBorder="1" applyAlignment="1">
      <alignment vertical="center"/>
    </xf>
    <xf numFmtId="0" fontId="18" fillId="34" borderId="11" xfId="0" applyFont="1" applyFill="1" applyBorder="1" applyAlignment="1">
      <alignment horizontal="center" vertical="center" wrapText="1"/>
    </xf>
    <xf numFmtId="0" fontId="79" fillId="0" borderId="0" xfId="0" applyFont="1" applyAlignment="1">
      <alignment vertical="center"/>
    </xf>
    <xf numFmtId="0" fontId="18" fillId="35" borderId="0" xfId="0" applyFont="1" applyFill="1" applyBorder="1" applyAlignment="1">
      <alignment vertical="center"/>
    </xf>
    <xf numFmtId="0" fontId="19" fillId="33" borderId="10" xfId="0" applyNumberFormat="1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/>
    </xf>
    <xf numFmtId="1" fontId="19" fillId="33" borderId="10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8" fillId="0" borderId="0" xfId="0" applyFont="1" applyAlignment="1">
      <alignment horizontal="right" vertical="center"/>
    </xf>
    <xf numFmtId="6" fontId="19" fillId="33" borderId="10" xfId="0" applyNumberFormat="1" applyFont="1" applyFill="1" applyBorder="1" applyAlignment="1">
      <alignment horizontal="center" vertical="center"/>
    </xf>
    <xf numFmtId="1" fontId="18" fillId="34" borderId="10" xfId="0" applyNumberFormat="1" applyFont="1" applyFill="1" applyBorder="1" applyAlignment="1">
      <alignment horizontal="right" vertical="center" wrapText="1"/>
    </xf>
    <xf numFmtId="0" fontId="18" fillId="35" borderId="0" xfId="0" applyFont="1" applyFill="1" applyBorder="1" applyAlignment="1">
      <alignment horizontal="center" vertical="center"/>
    </xf>
    <xf numFmtId="0" fontId="79" fillId="35" borderId="0" xfId="0" applyFont="1" applyFill="1" applyBorder="1" applyAlignment="1">
      <alignment vertical="center"/>
    </xf>
    <xf numFmtId="0" fontId="27" fillId="35" borderId="0" xfId="0" applyFont="1" applyFill="1" applyBorder="1" applyAlignment="1">
      <alignment horizontal="right" vertical="center"/>
    </xf>
    <xf numFmtId="0" fontId="19" fillId="35" borderId="0" xfId="0" applyFont="1" applyFill="1" applyBorder="1" applyAlignment="1">
      <alignment horizontal="center" vertical="center"/>
    </xf>
    <xf numFmtId="1" fontId="19" fillId="35" borderId="0" xfId="0" applyNumberFormat="1" applyFont="1" applyFill="1" applyBorder="1" applyAlignment="1">
      <alignment horizontal="center" vertical="center"/>
    </xf>
    <xf numFmtId="0" fontId="18" fillId="35" borderId="0" xfId="0" applyFont="1" applyFill="1" applyBorder="1" applyAlignment="1">
      <alignment horizontal="right" vertical="center" wrapText="1"/>
    </xf>
    <xf numFmtId="0" fontId="18" fillId="34" borderId="10" xfId="0" applyFont="1" applyFill="1" applyBorder="1" applyAlignment="1">
      <alignment horizontal="right" vertical="center" wrapText="1"/>
    </xf>
    <xf numFmtId="0" fontId="83" fillId="0" borderId="0" xfId="0" applyFont="1" applyAlignment="1">
      <alignment vertical="center"/>
    </xf>
    <xf numFmtId="0" fontId="84" fillId="0" borderId="0" xfId="0" applyFont="1" applyAlignment="1">
      <alignment horizontal="left" vertical="center" indent="3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 wrapText="1"/>
      <protection/>
    </xf>
    <xf numFmtId="0" fontId="64" fillId="26" borderId="1" xfId="40" applyAlignment="1" applyProtection="1">
      <alignment horizontal="center" vertical="center" wrapText="1"/>
      <protection/>
    </xf>
    <xf numFmtId="166" fontId="64" fillId="26" borderId="1" xfId="40" applyNumberForma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85" fillId="33" borderId="10" xfId="0" applyFont="1" applyFill="1" applyBorder="1" applyAlignment="1" applyProtection="1">
      <alignment/>
      <protection/>
    </xf>
    <xf numFmtId="9" fontId="85" fillId="33" borderId="10" xfId="43" applyNumberFormat="1" applyFont="1" applyFill="1" applyBorder="1" applyAlignment="1" applyProtection="1">
      <alignment/>
      <protection/>
    </xf>
    <xf numFmtId="9" fontId="86" fillId="26" borderId="12" xfId="53" applyNumberFormat="1" applyFont="1" applyBorder="1" applyAlignment="1" applyProtection="1">
      <alignment/>
      <protection/>
    </xf>
    <xf numFmtId="166" fontId="86" fillId="26" borderId="4" xfId="53" applyNumberFormat="1" applyFont="1" applyAlignment="1" applyProtection="1">
      <alignment/>
      <protection/>
    </xf>
    <xf numFmtId="9" fontId="12" fillId="33" borderId="10" xfId="43" applyNumberFormat="1" applyFont="1" applyFill="1" applyBorder="1" applyAlignment="1" applyProtection="1">
      <alignment/>
      <protection/>
    </xf>
    <xf numFmtId="9" fontId="87" fillId="26" borderId="12" xfId="53" applyNumberFormat="1" applyFont="1" applyBorder="1" applyAlignment="1" applyProtection="1">
      <alignment/>
      <protection/>
    </xf>
    <xf numFmtId="166" fontId="87" fillId="26" borderId="4" xfId="53" applyNumberFormat="1" applyFont="1" applyAlignment="1" applyProtection="1">
      <alignment/>
      <protection/>
    </xf>
    <xf numFmtId="0" fontId="79" fillId="0" borderId="0" xfId="0" applyFont="1" applyAlignment="1" applyProtection="1">
      <alignment/>
      <protection/>
    </xf>
    <xf numFmtId="9" fontId="79" fillId="0" borderId="0" xfId="51" applyFont="1" applyAlignment="1" applyProtection="1">
      <alignment/>
      <protection/>
    </xf>
    <xf numFmtId="44" fontId="79" fillId="0" borderId="0" xfId="48" applyFont="1" applyAlignment="1" applyProtection="1">
      <alignment/>
      <protection/>
    </xf>
    <xf numFmtId="0" fontId="88" fillId="7" borderId="13" xfId="0" applyFont="1" applyFill="1" applyBorder="1" applyAlignment="1" applyProtection="1">
      <alignment horizontal="left" vertical="center"/>
      <protection locked="0"/>
    </xf>
    <xf numFmtId="0" fontId="85" fillId="7" borderId="10" xfId="0" applyFont="1" applyFill="1" applyBorder="1" applyAlignment="1" applyProtection="1">
      <alignment/>
      <protection locked="0"/>
    </xf>
    <xf numFmtId="0" fontId="88" fillId="7" borderId="14" xfId="0" applyFont="1" applyFill="1" applyBorder="1" applyAlignment="1" applyProtection="1">
      <alignment horizontal="left" vertical="center"/>
      <protection locked="0"/>
    </xf>
    <xf numFmtId="0" fontId="79" fillId="7" borderId="10" xfId="0" applyFont="1" applyFill="1" applyBorder="1" applyAlignment="1" applyProtection="1">
      <alignment/>
      <protection locked="0"/>
    </xf>
    <xf numFmtId="0" fontId="88" fillId="7" borderId="10" xfId="0" applyFont="1" applyFill="1" applyBorder="1" applyAlignment="1" applyProtection="1">
      <alignment horizontal="left" vertical="center"/>
      <protection locked="0"/>
    </xf>
    <xf numFmtId="167" fontId="85" fillId="7" borderId="10" xfId="46" applyNumberFormat="1" applyFont="1" applyFill="1" applyBorder="1" applyAlignment="1" applyProtection="1">
      <alignment/>
      <protection locked="0"/>
    </xf>
    <xf numFmtId="9" fontId="85" fillId="7" borderId="10" xfId="43" applyNumberFormat="1" applyFont="1" applyFill="1" applyBorder="1" applyAlignment="1" applyProtection="1">
      <alignment/>
      <protection locked="0"/>
    </xf>
    <xf numFmtId="9" fontId="12" fillId="7" borderId="10" xfId="43" applyNumberFormat="1" applyFont="1" applyFill="1" applyBorder="1" applyAlignment="1" applyProtection="1">
      <alignment/>
      <protection locked="0"/>
    </xf>
    <xf numFmtId="44" fontId="85" fillId="7" borderId="10" xfId="43" applyNumberFormat="1" applyFont="1" applyFill="1" applyBorder="1" applyAlignment="1" applyProtection="1">
      <alignment/>
      <protection locked="0"/>
    </xf>
    <xf numFmtId="44" fontId="89" fillId="7" borderId="10" xfId="43" applyNumberFormat="1" applyFont="1" applyFill="1" applyBorder="1" applyAlignment="1" applyProtection="1">
      <alignment/>
      <protection locked="0"/>
    </xf>
    <xf numFmtId="0" fontId="0" fillId="0" borderId="0" xfId="0" applyFill="1" applyAlignment="1">
      <alignment vertical="center"/>
    </xf>
    <xf numFmtId="0" fontId="90" fillId="0" borderId="0" xfId="0" applyFont="1" applyAlignment="1" applyProtection="1">
      <alignment/>
      <protection/>
    </xf>
    <xf numFmtId="1" fontId="91" fillId="7" borderId="10" xfId="43" applyNumberFormat="1" applyFont="1" applyFill="1" applyBorder="1" applyAlignment="1" applyProtection="1">
      <alignment horizontal="center" vertical="center" wrapText="1"/>
      <protection locked="0"/>
    </xf>
    <xf numFmtId="164" fontId="91" fillId="7" borderId="10" xfId="43" applyNumberFormat="1" applyFont="1" applyFill="1" applyBorder="1" applyAlignment="1" applyProtection="1">
      <alignment horizontal="center" vertical="center" wrapText="1"/>
      <protection locked="0"/>
    </xf>
    <xf numFmtId="1" fontId="91" fillId="33" borderId="10" xfId="43" applyNumberFormat="1" applyFont="1" applyFill="1" applyBorder="1" applyAlignment="1">
      <alignment horizontal="center" vertical="center" wrapText="1"/>
    </xf>
    <xf numFmtId="164" fontId="91" fillId="33" borderId="10" xfId="43" applyNumberFormat="1" applyFont="1" applyFill="1" applyBorder="1" applyAlignment="1">
      <alignment horizontal="center" vertical="center" wrapText="1"/>
    </xf>
    <xf numFmtId="0" fontId="91" fillId="0" borderId="0" xfId="0" applyFont="1" applyFill="1" applyAlignment="1">
      <alignment/>
    </xf>
    <xf numFmtId="9" fontId="92" fillId="33" borderId="10" xfId="51" applyFont="1" applyFill="1" applyBorder="1" applyAlignment="1">
      <alignment horizontal="center"/>
    </xf>
    <xf numFmtId="165" fontId="92" fillId="33" borderId="10" xfId="48" applyNumberFormat="1" applyFont="1" applyFill="1" applyBorder="1" applyAlignment="1">
      <alignment/>
    </xf>
    <xf numFmtId="0" fontId="12" fillId="0" borderId="0" xfId="0" applyFont="1" applyFill="1" applyAlignment="1">
      <alignment/>
    </xf>
    <xf numFmtId="9" fontId="12" fillId="33" borderId="10" xfId="51" applyFont="1" applyFill="1" applyBorder="1" applyAlignment="1">
      <alignment horizontal="center"/>
    </xf>
    <xf numFmtId="164" fontId="12" fillId="33" borderId="10" xfId="0" applyNumberFormat="1" applyFont="1" applyFill="1" applyBorder="1" applyAlignment="1">
      <alignment/>
    </xf>
    <xf numFmtId="44" fontId="92" fillId="33" borderId="10" xfId="46" applyNumberFormat="1" applyFont="1" applyFill="1" applyBorder="1" applyAlignment="1">
      <alignment/>
    </xf>
    <xf numFmtId="1" fontId="12" fillId="7" borderId="10" xfId="43" applyNumberFormat="1" applyFont="1" applyFill="1" applyBorder="1" applyAlignment="1" applyProtection="1">
      <alignment horizontal="center" vertical="center" wrapText="1"/>
      <protection locked="0"/>
    </xf>
    <xf numFmtId="164" fontId="12" fillId="7" borderId="10" xfId="43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Alignment="1">
      <alignment vertical="center"/>
    </xf>
    <xf numFmtId="9" fontId="12" fillId="33" borderId="10" xfId="51" applyFont="1" applyFill="1" applyBorder="1" applyAlignment="1">
      <alignment horizontal="center" vertical="center"/>
    </xf>
    <xf numFmtId="164" fontId="12" fillId="33" borderId="10" xfId="0" applyNumberFormat="1" applyFont="1" applyFill="1" applyBorder="1" applyAlignment="1">
      <alignment vertical="center"/>
    </xf>
    <xf numFmtId="0" fontId="93" fillId="34" borderId="10" xfId="0" applyFont="1" applyFill="1" applyBorder="1" applyAlignment="1" applyProtection="1">
      <alignment horizontal="left" vertical="center" wrapText="1"/>
      <protection/>
    </xf>
    <xf numFmtId="0" fontId="93" fillId="34" borderId="15" xfId="0" applyFont="1" applyFill="1" applyBorder="1" applyAlignment="1" applyProtection="1">
      <alignment horizontal="left" vertical="center" wrapText="1"/>
      <protection/>
    </xf>
    <xf numFmtId="0" fontId="93" fillId="0" borderId="0" xfId="0" applyFont="1" applyAlignment="1">
      <alignment/>
    </xf>
    <xf numFmtId="0" fontId="93" fillId="0" borderId="0" xfId="0" applyFont="1" applyFill="1" applyAlignment="1">
      <alignment/>
    </xf>
    <xf numFmtId="0" fontId="93" fillId="34" borderId="16" xfId="0" applyFont="1" applyFill="1" applyBorder="1" applyAlignment="1">
      <alignment horizontal="left" vertical="center" wrapText="1"/>
    </xf>
    <xf numFmtId="0" fontId="93" fillId="0" borderId="0" xfId="0" applyFont="1" applyFill="1" applyAlignment="1">
      <alignment horizontal="left" vertical="center"/>
    </xf>
    <xf numFmtId="0" fontId="93" fillId="34" borderId="10" xfId="0" applyFont="1" applyFill="1" applyBorder="1" applyAlignment="1">
      <alignment horizontal="left" vertical="center"/>
    </xf>
    <xf numFmtId="0" fontId="93" fillId="34" borderId="10" xfId="0" applyFont="1" applyFill="1" applyBorder="1" applyAlignment="1">
      <alignment horizontal="left" vertical="center" wrapText="1"/>
    </xf>
    <xf numFmtId="0" fontId="81" fillId="34" borderId="10" xfId="0" applyFont="1" applyFill="1" applyBorder="1" applyAlignment="1" applyProtection="1">
      <alignment horizontal="left" vertical="center" wrapText="1"/>
      <protection/>
    </xf>
    <xf numFmtId="0" fontId="36" fillId="7" borderId="13" xfId="0" applyFont="1" applyFill="1" applyBorder="1" applyAlignment="1" applyProtection="1">
      <alignment horizontal="left" vertical="center"/>
      <protection locked="0"/>
    </xf>
    <xf numFmtId="0" fontId="36" fillId="7" borderId="14" xfId="0" applyFont="1" applyFill="1" applyBorder="1" applyAlignment="1" applyProtection="1">
      <alignment horizontal="left" vertical="center"/>
      <protection locked="0"/>
    </xf>
    <xf numFmtId="0" fontId="36" fillId="7" borderId="10" xfId="0" applyFont="1" applyFill="1" applyBorder="1" applyAlignment="1" applyProtection="1">
      <alignment horizontal="left" vertical="center"/>
      <protection locked="0"/>
    </xf>
    <xf numFmtId="0" fontId="12" fillId="7" borderId="0" xfId="0" applyFont="1" applyFill="1" applyAlignment="1" applyProtection="1">
      <alignment/>
      <protection locked="0"/>
    </xf>
    <xf numFmtId="0" fontId="12" fillId="7" borderId="10" xfId="0" applyFont="1" applyFill="1" applyBorder="1" applyAlignment="1" applyProtection="1">
      <alignment/>
      <protection locked="0"/>
    </xf>
    <xf numFmtId="0" fontId="37" fillId="0" borderId="0" xfId="0" applyFont="1" applyAlignment="1" applyProtection="1">
      <alignment/>
      <protection/>
    </xf>
    <xf numFmtId="0" fontId="13" fillId="0" borderId="0" xfId="0" applyFont="1" applyAlignment="1">
      <alignment/>
    </xf>
    <xf numFmtId="0" fontId="0" fillId="7" borderId="10" xfId="0" applyFill="1" applyBorder="1" applyAlignment="1" applyProtection="1">
      <alignment horizontal="center" vertical="center"/>
      <protection locked="0"/>
    </xf>
    <xf numFmtId="0" fontId="90" fillId="7" borderId="11" xfId="0" applyFont="1" applyFill="1" applyBorder="1" applyAlignment="1" applyProtection="1">
      <alignment horizontal="center"/>
      <protection locked="0"/>
    </xf>
    <xf numFmtId="0" fontId="0" fillId="7" borderId="13" xfId="0" applyFont="1" applyFill="1" applyBorder="1" applyAlignment="1" applyProtection="1">
      <alignment horizontal="center" vertical="center"/>
      <protection locked="0"/>
    </xf>
    <xf numFmtId="0" fontId="0" fillId="7" borderId="14" xfId="0" applyFont="1" applyFill="1" applyBorder="1" applyAlignment="1" applyProtection="1">
      <alignment horizontal="center" vertical="center"/>
      <protection locked="0"/>
    </xf>
    <xf numFmtId="0" fontId="0" fillId="7" borderId="10" xfId="0" applyFont="1" applyFill="1" applyBorder="1" applyAlignment="1" applyProtection="1">
      <alignment horizontal="center" vertical="center"/>
      <protection locked="0"/>
    </xf>
    <xf numFmtId="0" fontId="0" fillId="7" borderId="10" xfId="0" applyFill="1" applyBorder="1" applyAlignment="1" applyProtection="1">
      <alignment/>
      <protection locked="0"/>
    </xf>
    <xf numFmtId="0" fontId="0" fillId="7" borderId="10" xfId="0" applyFill="1" applyBorder="1" applyAlignment="1" applyProtection="1">
      <alignment horizontal="center"/>
      <protection locked="0"/>
    </xf>
    <xf numFmtId="0" fontId="79" fillId="35" borderId="0" xfId="0" applyFont="1" applyFill="1" applyBorder="1" applyAlignment="1">
      <alignment horizontal="right" vertical="center" wrapText="1"/>
    </xf>
    <xf numFmtId="9" fontId="0" fillId="35" borderId="0" xfId="51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 wrapText="1"/>
    </xf>
    <xf numFmtId="0" fontId="0" fillId="35" borderId="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Alignment="1">
      <alignment vertical="center"/>
    </xf>
    <xf numFmtId="10" fontId="82" fillId="33" borderId="10" xfId="51" applyNumberFormat="1" applyFont="1" applyFill="1" applyBorder="1" applyAlignment="1">
      <alignment horizontal="center" vertical="center"/>
    </xf>
    <xf numFmtId="43" fontId="82" fillId="33" borderId="10" xfId="46" applyFont="1" applyFill="1" applyBorder="1" applyAlignment="1">
      <alignment horizontal="center" vertical="center"/>
    </xf>
    <xf numFmtId="44" fontId="14" fillId="33" borderId="17" xfId="53" applyNumberFormat="1" applyFont="1" applyFill="1" applyBorder="1" applyAlignment="1">
      <alignment vertical="center"/>
    </xf>
    <xf numFmtId="0" fontId="12" fillId="0" borderId="0" xfId="0" applyFont="1" applyAlignment="1">
      <alignment vertical="center"/>
    </xf>
    <xf numFmtId="166" fontId="14" fillId="33" borderId="4" xfId="53" applyNumberFormat="1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34" borderId="10" xfId="0" applyFont="1" applyFill="1" applyBorder="1" applyAlignment="1">
      <alignment horizontal="right" vertical="center" wrapText="1"/>
    </xf>
    <xf numFmtId="0" fontId="13" fillId="34" borderId="10" xfId="43" applyFont="1" applyFill="1" applyBorder="1" applyAlignment="1">
      <alignment horizontal="right" vertical="center" wrapText="1"/>
    </xf>
    <xf numFmtId="0" fontId="77" fillId="34" borderId="10" xfId="0" applyFont="1" applyFill="1" applyBorder="1" applyAlignment="1">
      <alignment horizontal="right" vertical="center" wrapText="1"/>
    </xf>
    <xf numFmtId="0" fontId="12" fillId="34" borderId="17" xfId="53" applyFont="1" applyFill="1" applyBorder="1" applyAlignment="1">
      <alignment horizontal="right" vertical="center"/>
    </xf>
    <xf numFmtId="0" fontId="77" fillId="34" borderId="18" xfId="0" applyFont="1" applyFill="1" applyBorder="1" applyAlignment="1">
      <alignment horizontal="center" vertical="center" wrapText="1"/>
    </xf>
    <xf numFmtId="0" fontId="80" fillId="7" borderId="10" xfId="0" applyFont="1" applyFill="1" applyBorder="1" applyAlignment="1" applyProtection="1">
      <alignment horizontal="center" vertical="center"/>
      <protection locked="0"/>
    </xf>
    <xf numFmtId="0" fontId="0" fillId="7" borderId="11" xfId="0" applyFont="1" applyFill="1" applyBorder="1" applyAlignment="1" applyProtection="1">
      <alignment horizontal="center" vertical="center"/>
      <protection locked="0"/>
    </xf>
    <xf numFmtId="44" fontId="13" fillId="7" borderId="10" xfId="46" applyNumberFormat="1" applyFont="1" applyFill="1" applyBorder="1" applyAlignment="1" applyProtection="1">
      <alignment vertical="center"/>
      <protection locked="0"/>
    </xf>
    <xf numFmtId="2" fontId="94" fillId="7" borderId="10" xfId="46" applyNumberFormat="1" applyFont="1" applyFill="1" applyBorder="1" applyAlignment="1" applyProtection="1">
      <alignment vertical="center"/>
      <protection locked="0"/>
    </xf>
    <xf numFmtId="2" fontId="94" fillId="7" borderId="10" xfId="46" applyNumberFormat="1" applyFont="1" applyFill="1" applyBorder="1" applyAlignment="1" applyProtection="1">
      <alignment horizontal="center" vertical="center"/>
      <protection locked="0"/>
    </xf>
    <xf numFmtId="0" fontId="95" fillId="0" borderId="0" xfId="0" applyFont="1" applyAlignment="1">
      <alignment vertical="center"/>
    </xf>
    <xf numFmtId="0" fontId="64" fillId="26" borderId="10" xfId="40" applyFont="1" applyBorder="1" applyAlignment="1">
      <alignment horizontal="center" vertical="center" wrapText="1"/>
    </xf>
    <xf numFmtId="6" fontId="96" fillId="33" borderId="10" xfId="0" applyNumberFormat="1" applyFont="1" applyFill="1" applyBorder="1" applyAlignment="1">
      <alignment horizontal="center" vertical="center"/>
    </xf>
    <xf numFmtId="0" fontId="19" fillId="35" borderId="0" xfId="0" applyFont="1" applyFill="1" applyBorder="1" applyAlignment="1">
      <alignment horizontal="center" vertical="center" wrapText="1"/>
    </xf>
    <xf numFmtId="0" fontId="19" fillId="35" borderId="0" xfId="0" applyFont="1" applyFill="1" applyBorder="1" applyAlignment="1">
      <alignment vertical="center"/>
    </xf>
    <xf numFmtId="0" fontId="18" fillId="35" borderId="0" xfId="0" applyFont="1" applyFill="1" applyBorder="1" applyAlignment="1">
      <alignment horizontal="right" vertical="center"/>
    </xf>
    <xf numFmtId="0" fontId="19" fillId="0" borderId="0" xfId="0" applyFont="1" applyBorder="1" applyAlignment="1">
      <alignment vertical="center"/>
    </xf>
    <xf numFmtId="0" fontId="18" fillId="0" borderId="0" xfId="0" applyFont="1" applyBorder="1" applyAlignment="1">
      <alignment horizontal="right" vertical="center"/>
    </xf>
    <xf numFmtId="0" fontId="79" fillId="0" borderId="0" xfId="0" applyFont="1" applyBorder="1" applyAlignment="1">
      <alignment vertical="center"/>
    </xf>
    <xf numFmtId="0" fontId="84" fillId="0" borderId="0" xfId="0" applyFont="1" applyBorder="1" applyAlignment="1">
      <alignment horizontal="left" vertical="center" indent="3"/>
    </xf>
    <xf numFmtId="0" fontId="19" fillId="0" borderId="0" xfId="0" applyFont="1" applyBorder="1" applyAlignment="1">
      <alignment horizontal="center" vertical="center"/>
    </xf>
    <xf numFmtId="0" fontId="28" fillId="35" borderId="0" xfId="0" applyFont="1" applyFill="1" applyBorder="1" applyAlignment="1">
      <alignment horizontal="right" vertical="center"/>
    </xf>
    <xf numFmtId="0" fontId="19" fillId="35" borderId="0" xfId="0" applyFont="1" applyFill="1" applyBorder="1" applyAlignment="1" applyProtection="1">
      <alignment horizontal="center" vertical="center"/>
      <protection locked="0"/>
    </xf>
    <xf numFmtId="1" fontId="19" fillId="35" borderId="0" xfId="0" applyNumberFormat="1" applyFont="1" applyFill="1" applyBorder="1" applyAlignment="1" applyProtection="1">
      <alignment horizontal="center" vertical="center"/>
      <protection locked="0"/>
    </xf>
    <xf numFmtId="6" fontId="19" fillId="7" borderId="10" xfId="0" applyNumberFormat="1" applyFont="1" applyFill="1" applyBorder="1" applyAlignment="1" applyProtection="1">
      <alignment horizontal="center" vertical="center"/>
      <protection locked="0"/>
    </xf>
    <xf numFmtId="0" fontId="0" fillId="34" borderId="10" xfId="0" applyFont="1" applyFill="1" applyBorder="1" applyAlignment="1">
      <alignment horizontal="right" vertical="center" wrapText="1"/>
    </xf>
    <xf numFmtId="9" fontId="0" fillId="33" borderId="10" xfId="51" applyFont="1" applyFill="1" applyBorder="1" applyAlignment="1">
      <alignment horizontal="right" vertical="center"/>
    </xf>
    <xf numFmtId="164" fontId="13" fillId="33" borderId="10" xfId="46" applyNumberFormat="1" applyFont="1" applyFill="1" applyBorder="1" applyAlignment="1">
      <alignment horizontal="right"/>
    </xf>
    <xf numFmtId="164" fontId="14" fillId="33" borderId="17" xfId="53" applyNumberFormat="1" applyFont="1" applyFill="1" applyBorder="1" applyAlignment="1">
      <alignment horizontal="right"/>
    </xf>
    <xf numFmtId="0" fontId="64" fillId="26" borderId="1" xfId="40" applyFont="1" applyAlignment="1">
      <alignment horizontal="right"/>
    </xf>
    <xf numFmtId="165" fontId="64" fillId="26" borderId="1" xfId="40" applyNumberFormat="1" applyFont="1" applyAlignment="1">
      <alignment/>
    </xf>
    <xf numFmtId="0" fontId="65" fillId="0" borderId="2" xfId="41" applyFont="1" applyAlignment="1">
      <alignment horizontal="right" wrapText="1"/>
    </xf>
    <xf numFmtId="0" fontId="65" fillId="0" borderId="2" xfId="41" applyFont="1" applyAlignment="1">
      <alignment horizontal="right"/>
    </xf>
    <xf numFmtId="164" fontId="0" fillId="7" borderId="10" xfId="0" applyNumberFormat="1" applyFont="1" applyFill="1" applyBorder="1" applyAlignment="1" applyProtection="1">
      <alignment horizontal="right" vertical="center"/>
      <protection locked="0"/>
    </xf>
    <xf numFmtId="0" fontId="0" fillId="7" borderId="10" xfId="51" applyNumberFormat="1" applyFont="1" applyFill="1" applyBorder="1" applyAlignment="1" applyProtection="1">
      <alignment horizontal="right" vertical="center"/>
      <protection locked="0"/>
    </xf>
    <xf numFmtId="0" fontId="12" fillId="35" borderId="0" xfId="0" applyFont="1" applyFill="1" applyBorder="1" applyAlignment="1">
      <alignment/>
    </xf>
    <xf numFmtId="9" fontId="79" fillId="35" borderId="0" xfId="0" applyNumberFormat="1" applyFont="1" applyFill="1" applyBorder="1" applyAlignment="1">
      <alignment/>
    </xf>
    <xf numFmtId="0" fontId="13" fillId="33" borderId="10" xfId="0" applyFont="1" applyFill="1" applyBorder="1" applyAlignment="1">
      <alignment horizontal="right"/>
    </xf>
    <xf numFmtId="9" fontId="0" fillId="33" borderId="10" xfId="51" applyFont="1" applyFill="1" applyBorder="1" applyAlignment="1">
      <alignment/>
    </xf>
    <xf numFmtId="10" fontId="0" fillId="33" borderId="10" xfId="51" applyNumberFormat="1" applyFont="1" applyFill="1" applyBorder="1" applyAlignment="1">
      <alignment/>
    </xf>
    <xf numFmtId="166" fontId="0" fillId="33" borderId="10" xfId="0" applyNumberFormat="1" applyFont="1" applyFill="1" applyBorder="1" applyAlignment="1">
      <alignment/>
    </xf>
    <xf numFmtId="166" fontId="97" fillId="7" borderId="10" xfId="0" applyNumberFormat="1" applyFont="1" applyFill="1" applyBorder="1" applyAlignment="1" applyProtection="1">
      <alignment/>
      <protection locked="0"/>
    </xf>
    <xf numFmtId="0" fontId="44" fillId="36" borderId="0" xfId="0" applyFont="1" applyFill="1" applyAlignment="1" applyProtection="1">
      <alignment/>
      <protection/>
    </xf>
    <xf numFmtId="0" fontId="27" fillId="36" borderId="0" xfId="0" applyFont="1" applyFill="1" applyAlignment="1" applyProtection="1">
      <alignment horizontal="center"/>
      <protection/>
    </xf>
    <xf numFmtId="0" fontId="45" fillId="36" borderId="0" xfId="0" applyFont="1" applyFill="1" applyAlignment="1" applyProtection="1">
      <alignment horizontal="left" vertical="top" indent="3"/>
      <protection/>
    </xf>
    <xf numFmtId="0" fontId="0" fillId="36" borderId="0" xfId="0" applyFont="1" applyFill="1" applyAlignment="1" applyProtection="1">
      <alignment/>
      <protection/>
    </xf>
    <xf numFmtId="0" fontId="98" fillId="36" borderId="0" xfId="0" applyFont="1" applyFill="1" applyAlignment="1" applyProtection="1">
      <alignment/>
      <protection/>
    </xf>
    <xf numFmtId="0" fontId="45" fillId="36" borderId="0" xfId="0" applyFont="1" applyFill="1" applyAlignment="1" applyProtection="1">
      <alignment horizontal="left" vertical="top" wrapText="1" indent="3"/>
      <protection/>
    </xf>
    <xf numFmtId="0" fontId="45" fillId="36" borderId="0" xfId="0" applyFont="1" applyFill="1" applyAlignment="1" applyProtection="1">
      <alignment vertical="top"/>
      <protection/>
    </xf>
    <xf numFmtId="0" fontId="45" fillId="7" borderId="10" xfId="0" applyFont="1" applyFill="1" applyBorder="1" applyAlignment="1" applyProtection="1">
      <alignment vertical="top"/>
      <protection/>
    </xf>
    <xf numFmtId="0" fontId="0" fillId="33" borderId="10" xfId="0" applyFill="1" applyBorder="1" applyAlignment="1">
      <alignment/>
    </xf>
    <xf numFmtId="166" fontId="64" fillId="26" borderId="10" xfId="40" applyNumberFormat="1" applyBorder="1" applyAlignment="1" applyProtection="1">
      <alignment vertical="center"/>
      <protection/>
    </xf>
    <xf numFmtId="0" fontId="14" fillId="34" borderId="10" xfId="43" applyFont="1" applyFill="1" applyBorder="1" applyAlignment="1">
      <alignment horizontal="center" vertical="center" wrapText="1"/>
    </xf>
    <xf numFmtId="0" fontId="13" fillId="33" borderId="1" xfId="43" applyFont="1" applyFill="1" applyAlignment="1">
      <alignment horizontal="right"/>
    </xf>
    <xf numFmtId="0" fontId="13" fillId="33" borderId="1" xfId="43" applyFont="1" applyFill="1" applyAlignment="1">
      <alignment horizontal="right" wrapText="1"/>
    </xf>
    <xf numFmtId="0" fontId="71" fillId="34" borderId="4" xfId="53" applyFill="1" applyAlignment="1">
      <alignment horizontal="right"/>
    </xf>
    <xf numFmtId="0" fontId="65" fillId="35" borderId="2" xfId="41" applyFill="1" applyAlignment="1">
      <alignment horizontal="right"/>
    </xf>
    <xf numFmtId="0" fontId="14" fillId="34" borderId="4" xfId="53" applyFont="1" applyFill="1" applyAlignment="1">
      <alignment horizontal="right"/>
    </xf>
    <xf numFmtId="2" fontId="71" fillId="26" borderId="4" xfId="53" applyNumberFormat="1" applyAlignment="1">
      <alignment/>
    </xf>
    <xf numFmtId="166" fontId="71" fillId="26" borderId="4" xfId="53" applyNumberFormat="1" applyAlignment="1">
      <alignment/>
    </xf>
    <xf numFmtId="44" fontId="66" fillId="7" borderId="1" xfId="43" applyNumberFormat="1" applyFill="1" applyAlignment="1">
      <alignment/>
    </xf>
    <xf numFmtId="2" fontId="66" fillId="7" borderId="1" xfId="43" applyNumberFormat="1" applyFill="1" applyAlignment="1">
      <alignment/>
    </xf>
    <xf numFmtId="166" fontId="0" fillId="0" borderId="0" xfId="0" applyNumberFormat="1" applyAlignment="1">
      <alignment/>
    </xf>
    <xf numFmtId="0" fontId="45" fillId="36" borderId="0" xfId="0" applyFont="1" applyFill="1" applyAlignment="1" applyProtection="1">
      <alignment horizontal="left" vertical="top" indent="3"/>
      <protection/>
    </xf>
    <xf numFmtId="0" fontId="68" fillId="36" borderId="0" xfId="45" applyFill="1" applyAlignment="1" applyProtection="1">
      <alignment horizontal="left" vertical="top"/>
      <protection/>
    </xf>
    <xf numFmtId="0" fontId="45" fillId="36" borderId="0" xfId="0" applyFont="1" applyFill="1" applyAlignment="1" applyProtection="1">
      <alignment horizontal="left" vertical="center" wrapText="1"/>
      <protection/>
    </xf>
    <xf numFmtId="0" fontId="99" fillId="33" borderId="19" xfId="0" applyFont="1" applyFill="1" applyBorder="1" applyAlignment="1">
      <alignment horizontal="center" vertical="center" wrapText="1"/>
    </xf>
    <xf numFmtId="0" fontId="99" fillId="33" borderId="19" xfId="0" applyFont="1" applyFill="1" applyBorder="1" applyAlignment="1">
      <alignment horizontal="center" vertical="center"/>
    </xf>
    <xf numFmtId="0" fontId="99" fillId="33" borderId="20" xfId="0" applyFont="1" applyFill="1" applyBorder="1" applyAlignment="1">
      <alignment horizontal="center" vertical="center"/>
    </xf>
    <xf numFmtId="0" fontId="45" fillId="0" borderId="0" xfId="0" applyFont="1" applyAlignment="1">
      <alignment horizontal="left" vertical="center" wrapText="1" indent="3" readingOrder="1"/>
    </xf>
    <xf numFmtId="0" fontId="45" fillId="36" borderId="0" xfId="0" applyFont="1" applyFill="1" applyAlignment="1" applyProtection="1">
      <alignment horizontal="left" vertical="top" wrapText="1" indent="3"/>
      <protection/>
    </xf>
    <xf numFmtId="0" fontId="100" fillId="37" borderId="10" xfId="0" applyFont="1" applyFill="1" applyBorder="1" applyAlignment="1" applyProtection="1">
      <alignment horizontal="center" vertical="center"/>
      <protection/>
    </xf>
    <xf numFmtId="0" fontId="93" fillId="34" borderId="10" xfId="0" applyFont="1" applyFill="1" applyBorder="1" applyAlignment="1">
      <alignment horizontal="center" vertical="center"/>
    </xf>
    <xf numFmtId="0" fontId="100" fillId="37" borderId="10" xfId="0" applyFont="1" applyFill="1" applyBorder="1" applyAlignment="1">
      <alignment horizontal="center" vertical="center"/>
    </xf>
    <xf numFmtId="0" fontId="93" fillId="34" borderId="10" xfId="0" applyFont="1" applyFill="1" applyBorder="1" applyAlignment="1">
      <alignment horizontal="center" vertical="center" wrapText="1"/>
    </xf>
    <xf numFmtId="0" fontId="14" fillId="34" borderId="14" xfId="0" applyFont="1" applyFill="1" applyBorder="1" applyAlignment="1">
      <alignment horizontal="right"/>
    </xf>
    <xf numFmtId="0" fontId="14" fillId="34" borderId="15" xfId="0" applyFont="1" applyFill="1" applyBorder="1" applyAlignment="1">
      <alignment horizontal="right"/>
    </xf>
    <xf numFmtId="166" fontId="0" fillId="33" borderId="14" xfId="0" applyNumberFormat="1" applyFill="1" applyBorder="1" applyAlignment="1">
      <alignment horizontal="center"/>
    </xf>
    <xf numFmtId="166" fontId="0" fillId="33" borderId="21" xfId="0" applyNumberFormat="1" applyFill="1" applyBorder="1" applyAlignment="1">
      <alignment horizontal="center"/>
    </xf>
    <xf numFmtId="166" fontId="0" fillId="33" borderId="15" xfId="0" applyNumberFormat="1" applyFill="1" applyBorder="1" applyAlignment="1">
      <alignment horizontal="center"/>
    </xf>
    <xf numFmtId="2" fontId="0" fillId="33" borderId="14" xfId="0" applyNumberFormat="1" applyFill="1" applyBorder="1" applyAlignment="1">
      <alignment horizontal="center" vertical="center"/>
    </xf>
    <xf numFmtId="2" fontId="0" fillId="33" borderId="21" xfId="0" applyNumberFormat="1" applyFill="1" applyBorder="1" applyAlignment="1">
      <alignment horizontal="center" vertical="center"/>
    </xf>
    <xf numFmtId="2" fontId="0" fillId="33" borderId="15" xfId="0" applyNumberFormat="1" applyFill="1" applyBorder="1" applyAlignment="1">
      <alignment horizontal="center" vertical="center"/>
    </xf>
    <xf numFmtId="9" fontId="0" fillId="33" borderId="14" xfId="51" applyFont="1" applyFill="1" applyBorder="1" applyAlignment="1">
      <alignment horizontal="center" vertical="center"/>
    </xf>
    <xf numFmtId="9" fontId="0" fillId="33" borderId="21" xfId="51" applyFont="1" applyFill="1" applyBorder="1" applyAlignment="1">
      <alignment horizontal="center" vertical="center"/>
    </xf>
    <xf numFmtId="9" fontId="0" fillId="33" borderId="15" xfId="51" applyFont="1" applyFill="1" applyBorder="1" applyAlignment="1">
      <alignment horizontal="center" vertical="center"/>
    </xf>
    <xf numFmtId="166" fontId="0" fillId="7" borderId="14" xfId="0" applyNumberFormat="1" applyFill="1" applyBorder="1" applyAlignment="1" applyProtection="1">
      <alignment horizontal="center"/>
      <protection locked="0"/>
    </xf>
    <xf numFmtId="166" fontId="0" fillId="7" borderId="21" xfId="0" applyNumberFormat="1" applyFill="1" applyBorder="1" applyAlignment="1" applyProtection="1">
      <alignment horizontal="center"/>
      <protection locked="0"/>
    </xf>
    <xf numFmtId="166" fontId="0" fillId="7" borderId="15" xfId="0" applyNumberFormat="1" applyFill="1" applyBorder="1" applyAlignment="1" applyProtection="1">
      <alignment horizontal="center"/>
      <protection locked="0"/>
    </xf>
    <xf numFmtId="0" fontId="0" fillId="33" borderId="14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64" fillId="26" borderId="10" xfId="40" applyBorder="1" applyAlignment="1">
      <alignment horizontal="left" vertical="center" wrapText="1"/>
    </xf>
    <xf numFmtId="0" fontId="93" fillId="34" borderId="10" xfId="0" applyFont="1" applyFill="1" applyBorder="1" applyAlignment="1">
      <alignment horizontal="left" vertical="center" wrapText="1"/>
    </xf>
    <xf numFmtId="0" fontId="93" fillId="34" borderId="14" xfId="0" applyFont="1" applyFill="1" applyBorder="1" applyAlignment="1">
      <alignment horizontal="left" vertical="center" wrapText="1"/>
    </xf>
    <xf numFmtId="0" fontId="93" fillId="34" borderId="21" xfId="0" applyFont="1" applyFill="1" applyBorder="1" applyAlignment="1">
      <alignment horizontal="left" vertical="center" wrapText="1"/>
    </xf>
    <xf numFmtId="0" fontId="93" fillId="34" borderId="15" xfId="0" applyFont="1" applyFill="1" applyBorder="1" applyAlignment="1">
      <alignment horizontal="left" vertical="center" wrapText="1"/>
    </xf>
    <xf numFmtId="0" fontId="77" fillId="34" borderId="11" xfId="0" applyFont="1" applyFill="1" applyBorder="1" applyAlignment="1">
      <alignment horizontal="center" vertical="center" wrapText="1"/>
    </xf>
    <xf numFmtId="0" fontId="77" fillId="34" borderId="16" xfId="0" applyFont="1" applyFill="1" applyBorder="1" applyAlignment="1">
      <alignment horizontal="center" vertical="center" wrapText="1"/>
    </xf>
    <xf numFmtId="166" fontId="64" fillId="26" borderId="14" xfId="40" applyNumberFormat="1" applyBorder="1" applyAlignment="1">
      <alignment horizontal="center" vertical="center"/>
    </xf>
    <xf numFmtId="166" fontId="64" fillId="26" borderId="21" xfId="40" applyNumberFormat="1" applyBorder="1" applyAlignment="1">
      <alignment horizontal="center" vertical="center"/>
    </xf>
    <xf numFmtId="166" fontId="64" fillId="26" borderId="15" xfId="40" applyNumberFormat="1" applyBorder="1" applyAlignment="1">
      <alignment horizontal="center" vertical="center"/>
    </xf>
    <xf numFmtId="0" fontId="81" fillId="34" borderId="14" xfId="0" applyFont="1" applyFill="1" applyBorder="1" applyAlignment="1">
      <alignment horizontal="right" vertical="center" wrapText="1"/>
    </xf>
    <xf numFmtId="0" fontId="81" fillId="34" borderId="15" xfId="0" applyFont="1" applyFill="1" applyBorder="1" applyAlignment="1">
      <alignment horizontal="right" vertical="center" wrapText="1"/>
    </xf>
    <xf numFmtId="0" fontId="28" fillId="34" borderId="10" xfId="0" applyFont="1" applyFill="1" applyBorder="1" applyAlignment="1">
      <alignment horizontal="right" vertical="center"/>
    </xf>
    <xf numFmtId="0" fontId="18" fillId="34" borderId="11" xfId="0" applyFont="1" applyFill="1" applyBorder="1" applyAlignment="1">
      <alignment horizontal="center" vertical="center" wrapText="1"/>
    </xf>
    <xf numFmtId="0" fontId="25" fillId="3" borderId="10" xfId="0" applyFont="1" applyFill="1" applyBorder="1" applyAlignment="1">
      <alignment horizontal="center" vertical="center" wrapText="1"/>
    </xf>
    <xf numFmtId="0" fontId="25" fillId="15" borderId="10" xfId="0" applyFont="1" applyFill="1" applyBorder="1" applyAlignment="1">
      <alignment horizontal="center" vertical="center" wrapText="1"/>
    </xf>
    <xf numFmtId="0" fontId="42" fillId="3" borderId="10" xfId="0" applyFont="1" applyFill="1" applyBorder="1" applyAlignment="1">
      <alignment horizontal="center" vertical="center" wrapText="1"/>
    </xf>
    <xf numFmtId="0" fontId="101" fillId="38" borderId="10" xfId="0" applyFont="1" applyFill="1" applyBorder="1" applyAlignment="1">
      <alignment horizontal="center" vertical="center" wrapText="1"/>
    </xf>
    <xf numFmtId="0" fontId="42" fillId="15" borderId="10" xfId="0" applyFont="1" applyFill="1" applyBorder="1" applyAlignment="1">
      <alignment horizontal="center" vertical="center"/>
    </xf>
    <xf numFmtId="0" fontId="25" fillId="5" borderId="10" xfId="0" applyFont="1" applyFill="1" applyBorder="1" applyAlignment="1">
      <alignment horizontal="center" vertical="center" wrapText="1"/>
    </xf>
    <xf numFmtId="0" fontId="19" fillId="7" borderId="10" xfId="0" applyFont="1" applyFill="1" applyBorder="1" applyAlignment="1" applyProtection="1">
      <alignment horizontal="center" vertical="center"/>
      <protection locked="0"/>
    </xf>
    <xf numFmtId="1" fontId="19" fillId="7" borderId="10" xfId="0" applyNumberFormat="1" applyFont="1" applyFill="1" applyBorder="1" applyAlignment="1" applyProtection="1">
      <alignment horizontal="center" vertical="center"/>
      <protection locked="0"/>
    </xf>
    <xf numFmtId="0" fontId="28" fillId="34" borderId="11" xfId="0" applyFont="1" applyFill="1" applyBorder="1" applyAlignment="1">
      <alignment horizontal="right" vertical="center"/>
    </xf>
    <xf numFmtId="0" fontId="28" fillId="34" borderId="16" xfId="0" applyFont="1" applyFill="1" applyBorder="1" applyAlignment="1">
      <alignment horizontal="right" vertical="center"/>
    </xf>
    <xf numFmtId="0" fontId="19" fillId="0" borderId="0" xfId="0" applyFont="1" applyBorder="1" applyAlignment="1">
      <alignment horizontal="center" vertical="center"/>
    </xf>
    <xf numFmtId="6" fontId="19" fillId="7" borderId="10" xfId="0" applyNumberFormat="1" applyFont="1" applyFill="1" applyBorder="1" applyAlignment="1" applyProtection="1">
      <alignment horizontal="center" vertical="center"/>
      <protection locked="0"/>
    </xf>
    <xf numFmtId="6" fontId="19" fillId="33" borderId="10" xfId="0" applyNumberFormat="1" applyFont="1" applyFill="1" applyBorder="1" applyAlignment="1">
      <alignment horizontal="center" vertical="center"/>
    </xf>
    <xf numFmtId="0" fontId="19" fillId="34" borderId="10" xfId="0" applyFont="1" applyFill="1" applyBorder="1" applyAlignment="1">
      <alignment horizontal="center" vertical="center" wrapText="1"/>
    </xf>
    <xf numFmtId="0" fontId="18" fillId="34" borderId="10" xfId="0" applyFont="1" applyFill="1" applyBorder="1" applyAlignment="1">
      <alignment horizontal="center" vertical="center" wrapText="1"/>
    </xf>
    <xf numFmtId="0" fontId="18" fillId="34" borderId="10" xfId="0" applyFont="1" applyFill="1" applyBorder="1" applyAlignment="1">
      <alignment horizontal="center" vertical="center"/>
    </xf>
    <xf numFmtId="6" fontId="96" fillId="33" borderId="10" xfId="0" applyNumberFormat="1" applyFont="1" applyFill="1" applyBorder="1" applyAlignment="1">
      <alignment horizontal="center" vertical="center"/>
    </xf>
    <xf numFmtId="1" fontId="19" fillId="33" borderId="10" xfId="0" applyNumberFormat="1" applyFont="1" applyFill="1" applyBorder="1" applyAlignment="1">
      <alignment horizontal="center" vertical="center"/>
    </xf>
    <xf numFmtId="0" fontId="64" fillId="26" borderId="10" xfId="40" applyBorder="1" applyAlignment="1">
      <alignment horizontal="center" vertical="center" wrapText="1"/>
    </xf>
    <xf numFmtId="166" fontId="64" fillId="26" borderId="10" xfId="40" applyNumberFormat="1" applyBorder="1" applyAlignment="1">
      <alignment horizontal="center" vertic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Menu!A1" /><Relationship Id="rId3" Type="http://schemas.openxmlformats.org/officeDocument/2006/relationships/hyperlink" Target="#Menu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Menu!A1" /><Relationship Id="rId3" Type="http://schemas.openxmlformats.org/officeDocument/2006/relationships/hyperlink" Target="#Menu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Menu!A1" /><Relationship Id="rId3" Type="http://schemas.openxmlformats.org/officeDocument/2006/relationships/hyperlink" Target="#Menu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Menu!A1" /><Relationship Id="rId3" Type="http://schemas.openxmlformats.org/officeDocument/2006/relationships/hyperlink" Target="#Menu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Menu!A1" /><Relationship Id="rId3" Type="http://schemas.openxmlformats.org/officeDocument/2006/relationships/hyperlink" Target="#Menu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Menu!A1" /><Relationship Id="rId3" Type="http://schemas.openxmlformats.org/officeDocument/2006/relationships/hyperlink" Target="#Menu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Menu!A1" /><Relationship Id="rId3" Type="http://schemas.openxmlformats.org/officeDocument/2006/relationships/hyperlink" Target="#Menu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Menu!A1" /><Relationship Id="rId3" Type="http://schemas.openxmlformats.org/officeDocument/2006/relationships/hyperlink" Target="#Menu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Menu!A1" /><Relationship Id="rId3" Type="http://schemas.openxmlformats.org/officeDocument/2006/relationships/hyperlink" Target="#Menu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13</xdr:row>
      <xdr:rowOff>152400</xdr:rowOff>
    </xdr:from>
    <xdr:to>
      <xdr:col>9</xdr:col>
      <xdr:colOff>752475</xdr:colOff>
      <xdr:row>16</xdr:row>
      <xdr:rowOff>38100</xdr:rowOff>
    </xdr:to>
    <xdr:sp>
      <xdr:nvSpPr>
        <xdr:cNvPr id="1" name="Parchemin horizontal 3"/>
        <xdr:cNvSpPr>
          <a:spLocks/>
        </xdr:cNvSpPr>
      </xdr:nvSpPr>
      <xdr:spPr>
        <a:xfrm>
          <a:off x="4819650" y="3838575"/>
          <a:ext cx="3133725" cy="457200"/>
        </a:xfrm>
        <a:prstGeom prst="horizontalScroll">
          <a:avLst>
            <a:gd name="adj" fmla="val -43750"/>
          </a:avLst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1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Cliquez sur les titres pour accéder aux onglets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304800</xdr:colOff>
      <xdr:row>1</xdr:row>
      <xdr:rowOff>247650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051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790575</xdr:colOff>
      <xdr:row>10</xdr:row>
      <xdr:rowOff>190500</xdr:rowOff>
    </xdr:from>
    <xdr:to>
      <xdr:col>5</xdr:col>
      <xdr:colOff>1257300</xdr:colOff>
      <xdr:row>16</xdr:row>
      <xdr:rowOff>28575</xdr:rowOff>
    </xdr:to>
    <xdr:sp>
      <xdr:nvSpPr>
        <xdr:cNvPr id="1" name="Parchemin horizontal 1"/>
        <xdr:cNvSpPr>
          <a:spLocks/>
        </xdr:cNvSpPr>
      </xdr:nvSpPr>
      <xdr:spPr>
        <a:xfrm>
          <a:off x="5762625" y="2647950"/>
          <a:ext cx="3495675" cy="981075"/>
        </a:xfrm>
        <a:prstGeom prst="horizontalScroll">
          <a:avLst>
            <a:gd name="adj" fmla="val -43750"/>
          </a:avLst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1" i="1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**</a:t>
          </a:r>
          <a:r>
            <a:rPr lang="en-US" cap="none" sz="1100" b="0" i="1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Les cibles en matière de ratios d'achats sont des recommandations qui proviennent du rapport de synthèse de l'audit Referis 2012.</a:t>
          </a:r>
        </a:p>
      </xdr:txBody>
    </xdr:sp>
    <xdr:clientData/>
  </xdr:twoCellAnchor>
  <xdr:twoCellAnchor editAs="oneCell">
    <xdr:from>
      <xdr:col>9</xdr:col>
      <xdr:colOff>1104900</xdr:colOff>
      <xdr:row>0</xdr:row>
      <xdr:rowOff>9525</xdr:rowOff>
    </xdr:from>
    <xdr:to>
      <xdr:col>11</xdr:col>
      <xdr:colOff>142875</xdr:colOff>
      <xdr:row>2</xdr:row>
      <xdr:rowOff>28575</xdr:rowOff>
    </xdr:to>
    <xdr:pic>
      <xdr:nvPicPr>
        <xdr:cNvPr id="2" name="Image 2" descr="C:\Users\Referis_2\AppData\Local\Microsoft\Windows\Temporary Internet Files\Content.IE5\RUVPNGAG\MC900442122[1].pn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82725" y="9525"/>
          <a:ext cx="5619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523875</xdr:colOff>
      <xdr:row>0</xdr:row>
      <xdr:rowOff>0</xdr:rowOff>
    </xdr:from>
    <xdr:to>
      <xdr:col>16</xdr:col>
      <xdr:colOff>9525</xdr:colOff>
      <xdr:row>2</xdr:row>
      <xdr:rowOff>19050</xdr:rowOff>
    </xdr:to>
    <xdr:pic>
      <xdr:nvPicPr>
        <xdr:cNvPr id="1" name="Image 2" descr="C:\Users\Referis_2\AppData\Local\Microsoft\Windows\Temporary Internet Files\Content.IE5\RUVPNGAG\MC900442122[1].pn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92350" y="0"/>
          <a:ext cx="5619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47625</xdr:colOff>
      <xdr:row>10</xdr:row>
      <xdr:rowOff>57150</xdr:rowOff>
    </xdr:from>
    <xdr:to>
      <xdr:col>17</xdr:col>
      <xdr:colOff>552450</xdr:colOff>
      <xdr:row>21</xdr:row>
      <xdr:rowOff>57150</xdr:rowOff>
    </xdr:to>
    <xdr:sp>
      <xdr:nvSpPr>
        <xdr:cNvPr id="1" name="Parchemin horizontal 1"/>
        <xdr:cNvSpPr>
          <a:spLocks/>
        </xdr:cNvSpPr>
      </xdr:nvSpPr>
      <xdr:spPr>
        <a:xfrm>
          <a:off x="12582525" y="2505075"/>
          <a:ext cx="2886075" cy="1990725"/>
        </a:xfrm>
        <a:prstGeom prst="horizontalScroll">
          <a:avLst>
            <a:gd name="adj" fmla="val -43750"/>
          </a:avLst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1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**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1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Les pourcentages et montants des recettes moyens cibles ont été établis lors de l'audit Referis 2012 en réalisant la moyenne des 3 meilleurs résultats sur l'ensemble des Centres de Santé (municipaux et associatifs) des départements du 92,93 et 94 participant à l'étude.</a:t>
          </a:r>
        </a:p>
      </xdr:txBody>
    </xdr:sp>
    <xdr:clientData/>
  </xdr:twoCellAnchor>
  <xdr:twoCellAnchor editAs="oneCell">
    <xdr:from>
      <xdr:col>17</xdr:col>
      <xdr:colOff>123825</xdr:colOff>
      <xdr:row>0</xdr:row>
      <xdr:rowOff>0</xdr:rowOff>
    </xdr:from>
    <xdr:to>
      <xdr:col>17</xdr:col>
      <xdr:colOff>647700</xdr:colOff>
      <xdr:row>2</xdr:row>
      <xdr:rowOff>19050</xdr:rowOff>
    </xdr:to>
    <xdr:pic>
      <xdr:nvPicPr>
        <xdr:cNvPr id="2" name="Image 4" descr="C:\Users\Referis_2\AppData\Local\Microsoft\Windows\Temporary Internet Files\Content.IE5\RUVPNGAG\MC900442122[1].pn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39975" y="0"/>
          <a:ext cx="5238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723900</xdr:colOff>
      <xdr:row>0</xdr:row>
      <xdr:rowOff>0</xdr:rowOff>
    </xdr:from>
    <xdr:to>
      <xdr:col>22</xdr:col>
      <xdr:colOff>47625</xdr:colOff>
      <xdr:row>2</xdr:row>
      <xdr:rowOff>19050</xdr:rowOff>
    </xdr:to>
    <xdr:pic>
      <xdr:nvPicPr>
        <xdr:cNvPr id="1" name="Image 3" descr="C:\Users\Referis_2\AppData\Local\Microsoft\Windows\Temporary Internet Files\Content.IE5\RUVPNGAG\MC900442122[1].pn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82825" y="0"/>
          <a:ext cx="5619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95250</xdr:colOff>
      <xdr:row>0</xdr:row>
      <xdr:rowOff>9525</xdr:rowOff>
    </xdr:from>
    <xdr:to>
      <xdr:col>11</xdr:col>
      <xdr:colOff>619125</xdr:colOff>
      <xdr:row>2</xdr:row>
      <xdr:rowOff>9525</xdr:rowOff>
    </xdr:to>
    <xdr:pic>
      <xdr:nvPicPr>
        <xdr:cNvPr id="1" name="Image 1" descr="C:\Users\Referis_2\AppData\Local\Microsoft\Windows\Temporary Internet Files\Content.IE5\RUVPNGAG\MC900442122[1].pn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97075" y="9525"/>
          <a:ext cx="5238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95250</xdr:colOff>
      <xdr:row>0</xdr:row>
      <xdr:rowOff>9525</xdr:rowOff>
    </xdr:from>
    <xdr:to>
      <xdr:col>9</xdr:col>
      <xdr:colOff>619125</xdr:colOff>
      <xdr:row>2</xdr:row>
      <xdr:rowOff>9525</xdr:rowOff>
    </xdr:to>
    <xdr:pic>
      <xdr:nvPicPr>
        <xdr:cNvPr id="1" name="Image 1" descr="C:\Users\Referis_2\AppData\Local\Microsoft\Windows\Temporary Internet Files\Content.IE5\RUVPNGAG\MC900442122[1].pn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0" y="9525"/>
          <a:ext cx="5238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13</xdr:row>
      <xdr:rowOff>57150</xdr:rowOff>
    </xdr:from>
    <xdr:to>
      <xdr:col>4</xdr:col>
      <xdr:colOff>438150</xdr:colOff>
      <xdr:row>24</xdr:row>
      <xdr:rowOff>114300</xdr:rowOff>
    </xdr:to>
    <xdr:sp>
      <xdr:nvSpPr>
        <xdr:cNvPr id="1" name="Parchemin horizontal 3"/>
        <xdr:cNvSpPr>
          <a:spLocks/>
        </xdr:cNvSpPr>
      </xdr:nvSpPr>
      <xdr:spPr>
        <a:xfrm>
          <a:off x="1333500" y="2971800"/>
          <a:ext cx="2781300" cy="2362200"/>
        </a:xfrm>
        <a:prstGeom prst="horizontalScroll">
          <a:avLst>
            <a:gd name="adj" fmla="val -43750"/>
          </a:avLst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1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**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1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En médecine générale, les patients concernés sont les patients ayant un médecin traitant dans le centre. 
</a:t>
          </a:r>
          <a:r>
            <a:rPr lang="en-US" cap="none" sz="1100" b="0" i="1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En dentaire, les patients concernés sont les patients agés de plus de 16 ans </a:t>
          </a:r>
        </a:p>
      </xdr:txBody>
    </xdr:sp>
    <xdr:clientData/>
  </xdr:twoCellAnchor>
  <xdr:twoCellAnchor editAs="oneCell">
    <xdr:from>
      <xdr:col>16</xdr:col>
      <xdr:colOff>457200</xdr:colOff>
      <xdr:row>0</xdr:row>
      <xdr:rowOff>0</xdr:rowOff>
    </xdr:from>
    <xdr:to>
      <xdr:col>18</xdr:col>
      <xdr:colOff>76200</xdr:colOff>
      <xdr:row>2</xdr:row>
      <xdr:rowOff>47625</xdr:rowOff>
    </xdr:to>
    <xdr:pic>
      <xdr:nvPicPr>
        <xdr:cNvPr id="2" name="Image 4" descr="C:\Users\Referis_2\AppData\Local\Microsoft\Windows\Temporary Internet Files\Content.IE5\RUVPNGAG\MC900442122[1].pn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20925" y="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228600</xdr:colOff>
      <xdr:row>5</xdr:row>
      <xdr:rowOff>95250</xdr:rowOff>
    </xdr:from>
    <xdr:to>
      <xdr:col>5</xdr:col>
      <xdr:colOff>85725</xdr:colOff>
      <xdr:row>13</xdr:row>
      <xdr:rowOff>219075</xdr:rowOff>
    </xdr:to>
    <xdr:sp>
      <xdr:nvSpPr>
        <xdr:cNvPr id="1" name="Parchemin horizontal 1"/>
        <xdr:cNvSpPr>
          <a:spLocks/>
        </xdr:cNvSpPr>
      </xdr:nvSpPr>
      <xdr:spPr>
        <a:xfrm>
          <a:off x="9267825" y="1371600"/>
          <a:ext cx="3152775" cy="2047875"/>
        </a:xfrm>
        <a:prstGeom prst="horizontalScroll">
          <a:avLst>
            <a:gd name="adj" fmla="val -43750"/>
          </a:avLst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1" i="1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**</a:t>
          </a:r>
          <a:r>
            <a:rPr lang="en-US" cap="none" sz="1100" b="0" i="1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Les cibles en matière de coût du tiers payant et de % d'impayés ont été établis lors de l'audit Referis 2012 en réalisant la moyenne des 3 meilleurs résultats sur l'ensemble des Centres de Santé (municipaux et associatifs) des départements du 92,93 et 94 participant à l'étude.</a:t>
          </a:r>
        </a:p>
      </xdr:txBody>
    </xdr:sp>
    <xdr:clientData/>
  </xdr:twoCellAnchor>
  <xdr:twoCellAnchor editAs="oneCell">
    <xdr:from>
      <xdr:col>6</xdr:col>
      <xdr:colOff>190500</xdr:colOff>
      <xdr:row>0</xdr:row>
      <xdr:rowOff>0</xdr:rowOff>
    </xdr:from>
    <xdr:to>
      <xdr:col>6</xdr:col>
      <xdr:colOff>714375</xdr:colOff>
      <xdr:row>2</xdr:row>
      <xdr:rowOff>19050</xdr:rowOff>
    </xdr:to>
    <xdr:pic>
      <xdr:nvPicPr>
        <xdr:cNvPr id="2" name="Image 2" descr="C:\Users\Referis_2\AppData\Local\Microsoft\Windows\Temporary Internet Files\Content.IE5\RUVPNGAG\MC900442122[1].pn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54150" y="0"/>
          <a:ext cx="5238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552450</xdr:colOff>
      <xdr:row>0</xdr:row>
      <xdr:rowOff>0</xdr:rowOff>
    </xdr:from>
    <xdr:to>
      <xdr:col>9</xdr:col>
      <xdr:colOff>333375</xdr:colOff>
      <xdr:row>2</xdr:row>
      <xdr:rowOff>19050</xdr:rowOff>
    </xdr:to>
    <xdr:pic>
      <xdr:nvPicPr>
        <xdr:cNvPr id="1" name="Image 1" descr="C:\Users\Referis_2\AppData\Local\Microsoft\Windows\Temporary Internet Files\Content.IE5\RUVPNGAG\MC900442122[1].pn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44550" y="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619125</xdr:colOff>
      <xdr:row>4</xdr:row>
      <xdr:rowOff>19050</xdr:rowOff>
    </xdr:from>
    <xdr:to>
      <xdr:col>6</xdr:col>
      <xdr:colOff>409575</xdr:colOff>
      <xdr:row>9</xdr:row>
      <xdr:rowOff>0</xdr:rowOff>
    </xdr:to>
    <xdr:sp>
      <xdr:nvSpPr>
        <xdr:cNvPr id="2" name="Parchemin horizontal 2"/>
        <xdr:cNvSpPr>
          <a:spLocks/>
        </xdr:cNvSpPr>
      </xdr:nvSpPr>
      <xdr:spPr>
        <a:xfrm>
          <a:off x="8715375" y="904875"/>
          <a:ext cx="3162300" cy="923925"/>
        </a:xfrm>
        <a:prstGeom prst="horizontalScroll">
          <a:avLst>
            <a:gd name="adj" fmla="val -43750"/>
          </a:avLst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1" i="1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**</a:t>
          </a:r>
          <a:r>
            <a:rPr lang="en-US" cap="none" sz="1100" b="0" i="1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Les cibles en matière de ratios de personnel sont des recommandations qui proviennent du rapport de synthèse de l'audit Referis 2012.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0"/>
  <sheetViews>
    <sheetView showGridLines="0" tabSelected="1" zoomScale="75" zoomScaleNormal="75" zoomScalePageLayoutView="0" workbookViewId="0" topLeftCell="A1">
      <pane xSplit="21" ySplit="2" topLeftCell="V3" activePane="bottomRight" state="frozen"/>
      <selection pane="topLeft" activeCell="A1" sqref="A1"/>
      <selection pane="topRight" activeCell="V1" sqref="V1"/>
      <selection pane="bottomLeft" activeCell="A3" sqref="A3"/>
      <selection pane="bottomRight" activeCell="B19" sqref="B19:U19"/>
    </sheetView>
  </sheetViews>
  <sheetFormatPr defaultColWidth="11.421875" defaultRowHeight="15"/>
  <cols>
    <col min="1" max="21" width="12.00390625" style="0" customWidth="1"/>
    <col min="22" max="22" width="3.57421875" style="0" customWidth="1"/>
  </cols>
  <sheetData>
    <row r="1" spans="1:21" ht="29.25" customHeight="1">
      <c r="A1" s="204" t="s">
        <v>159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</row>
    <row r="2" spans="1:21" ht="29.25" customHeight="1" thickBot="1">
      <c r="A2" s="206"/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</row>
    <row r="4" spans="1:8" ht="17.25">
      <c r="A4" s="180" t="s">
        <v>155</v>
      </c>
      <c r="B4" s="180"/>
      <c r="C4" s="180"/>
      <c r="D4" s="181"/>
      <c r="E4" s="181"/>
      <c r="F4" s="181"/>
      <c r="G4" s="181"/>
      <c r="H4" s="181"/>
    </row>
    <row r="5" ht="8.25" customHeight="1"/>
    <row r="6" spans="1:21" ht="77.25" customHeight="1">
      <c r="A6" s="207" t="s">
        <v>168</v>
      </c>
      <c r="B6" s="207"/>
      <c r="C6" s="207"/>
      <c r="D6" s="207"/>
      <c r="E6" s="207"/>
      <c r="F6" s="207"/>
      <c r="G6" s="207"/>
      <c r="H6" s="207"/>
      <c r="I6" s="207"/>
      <c r="J6" s="207"/>
      <c r="K6" s="207"/>
      <c r="L6" s="207"/>
      <c r="M6" s="207"/>
      <c r="N6" s="207"/>
      <c r="O6" s="207"/>
      <c r="P6" s="207"/>
      <c r="Q6" s="207"/>
      <c r="R6" s="207"/>
      <c r="S6" s="207"/>
      <c r="T6" s="207"/>
      <c r="U6" s="207"/>
    </row>
    <row r="7" spans="1:14" ht="15">
      <c r="A7" s="207"/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  <c r="N7" s="207"/>
    </row>
    <row r="8" spans="1:8" ht="18">
      <c r="A8" s="180" t="s">
        <v>156</v>
      </c>
      <c r="B8" s="180"/>
      <c r="C8" s="180"/>
      <c r="D8" s="181"/>
      <c r="E8" s="181"/>
      <c r="F8" s="181"/>
      <c r="G8" s="181"/>
      <c r="H8" s="181"/>
    </row>
    <row r="9" spans="1:8" ht="8.25" customHeight="1">
      <c r="A9" s="180"/>
      <c r="B9" s="180"/>
      <c r="C9" s="180"/>
      <c r="D9" s="181"/>
      <c r="E9" s="181"/>
      <c r="F9" s="181"/>
      <c r="G9" s="181"/>
      <c r="H9" s="181"/>
    </row>
    <row r="10" spans="1:21" ht="29.25" customHeight="1">
      <c r="A10" s="208" t="s">
        <v>169</v>
      </c>
      <c r="B10" s="208"/>
      <c r="C10" s="208"/>
      <c r="D10" s="208"/>
      <c r="E10" s="208"/>
      <c r="F10" s="208"/>
      <c r="G10" s="208"/>
      <c r="H10" s="208"/>
      <c r="I10" s="208"/>
      <c r="J10" s="208"/>
      <c r="K10" s="208"/>
      <c r="L10" s="208"/>
      <c r="M10" s="208"/>
      <c r="N10" s="208"/>
      <c r="O10" s="208"/>
      <c r="P10" s="208"/>
      <c r="Q10" s="208"/>
      <c r="R10" s="208"/>
      <c r="S10" s="208"/>
      <c r="T10" s="208"/>
      <c r="U10" s="208"/>
    </row>
    <row r="11" spans="1:21" ht="14.25">
      <c r="A11" s="185"/>
      <c r="B11" s="202" t="s">
        <v>170</v>
      </c>
      <c r="C11" s="202"/>
      <c r="D11" s="202"/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2"/>
      <c r="P11" s="202"/>
      <c r="Q11" s="202"/>
      <c r="R11" s="202"/>
      <c r="S11" s="202"/>
      <c r="T11" s="202"/>
      <c r="U11" s="202"/>
    </row>
    <row r="12" spans="1:21" ht="15">
      <c r="A12" s="185"/>
      <c r="B12" s="202" t="s">
        <v>171</v>
      </c>
      <c r="C12" s="202"/>
      <c r="D12" s="202"/>
      <c r="E12" s="202"/>
      <c r="F12" s="202"/>
      <c r="G12" s="202"/>
      <c r="H12" s="202"/>
      <c r="I12" s="202"/>
      <c r="J12" s="202"/>
      <c r="K12" s="202"/>
      <c r="L12" s="202"/>
      <c r="M12" s="202"/>
      <c r="N12" s="202"/>
      <c r="O12" s="202"/>
      <c r="P12" s="202"/>
      <c r="Q12" s="202"/>
      <c r="R12" s="202"/>
      <c r="S12" s="202"/>
      <c r="T12" s="202"/>
      <c r="U12" s="202"/>
    </row>
    <row r="13" spans="1:21" ht="14.25">
      <c r="A13" s="185"/>
      <c r="B13" s="202" t="s">
        <v>172</v>
      </c>
      <c r="C13" s="202"/>
      <c r="D13" s="202"/>
      <c r="E13" s="202"/>
      <c r="F13" s="202"/>
      <c r="G13" s="202"/>
      <c r="H13" s="202"/>
      <c r="I13" s="202"/>
      <c r="J13" s="202"/>
      <c r="K13" s="202"/>
      <c r="L13" s="202"/>
      <c r="M13" s="202"/>
      <c r="N13" s="202"/>
      <c r="O13" s="202"/>
      <c r="P13" s="202"/>
      <c r="Q13" s="202"/>
      <c r="R13" s="202"/>
      <c r="S13" s="202"/>
      <c r="T13" s="202"/>
      <c r="U13" s="202"/>
    </row>
    <row r="14" spans="1:21" ht="15">
      <c r="A14" s="185"/>
      <c r="B14" s="202" t="s">
        <v>173</v>
      </c>
      <c r="C14" s="202"/>
      <c r="D14" s="202"/>
      <c r="E14" s="202"/>
      <c r="F14" s="202"/>
      <c r="G14" s="202"/>
      <c r="H14" s="202"/>
      <c r="I14" s="202"/>
      <c r="J14" s="202"/>
      <c r="K14" s="202"/>
      <c r="L14" s="202"/>
      <c r="M14" s="202"/>
      <c r="N14" s="202"/>
      <c r="O14" s="202"/>
      <c r="P14" s="202"/>
      <c r="Q14" s="202"/>
      <c r="R14" s="202"/>
      <c r="S14" s="202"/>
      <c r="T14" s="202"/>
      <c r="U14" s="202"/>
    </row>
    <row r="15" spans="1:21" ht="15">
      <c r="A15" s="185"/>
      <c r="B15" s="202" t="s">
        <v>174</v>
      </c>
      <c r="C15" s="202"/>
      <c r="D15" s="202"/>
      <c r="E15" s="202"/>
      <c r="F15" s="202"/>
      <c r="G15" s="202"/>
      <c r="H15" s="202"/>
      <c r="I15" s="202"/>
      <c r="J15" s="202"/>
      <c r="K15" s="202"/>
      <c r="L15" s="202"/>
      <c r="M15" s="202"/>
      <c r="N15" s="202"/>
      <c r="O15" s="202"/>
      <c r="P15" s="202"/>
      <c r="Q15" s="202"/>
      <c r="R15" s="202"/>
      <c r="S15" s="202"/>
      <c r="T15" s="202"/>
      <c r="U15" s="202"/>
    </row>
    <row r="16" spans="1:21" ht="15">
      <c r="A16" s="185"/>
      <c r="B16" s="202" t="s">
        <v>178</v>
      </c>
      <c r="C16" s="202"/>
      <c r="D16" s="202"/>
      <c r="E16" s="202"/>
      <c r="F16" s="202"/>
      <c r="G16" s="202"/>
      <c r="H16" s="202"/>
      <c r="I16" s="202"/>
      <c r="J16" s="202"/>
      <c r="K16" s="202"/>
      <c r="L16" s="202"/>
      <c r="M16" s="202"/>
      <c r="N16" s="202"/>
      <c r="O16" s="202"/>
      <c r="P16" s="202"/>
      <c r="Q16" s="202"/>
      <c r="R16" s="202"/>
      <c r="S16" s="202"/>
      <c r="T16" s="202"/>
      <c r="U16" s="202"/>
    </row>
    <row r="17" spans="1:21" ht="14.25">
      <c r="A17" s="185"/>
      <c r="B17" s="202" t="s">
        <v>175</v>
      </c>
      <c r="C17" s="202"/>
      <c r="D17" s="202"/>
      <c r="E17" s="202"/>
      <c r="F17" s="202"/>
      <c r="G17" s="202"/>
      <c r="H17" s="202"/>
      <c r="I17" s="202"/>
      <c r="J17" s="202"/>
      <c r="K17" s="202"/>
      <c r="L17" s="202"/>
      <c r="M17" s="202"/>
      <c r="N17" s="202"/>
      <c r="O17" s="202"/>
      <c r="P17" s="202"/>
      <c r="Q17" s="202"/>
      <c r="R17" s="202"/>
      <c r="S17" s="202"/>
      <c r="T17" s="202"/>
      <c r="U17" s="202"/>
    </row>
    <row r="18" spans="1:21" ht="14.25">
      <c r="A18" s="185"/>
      <c r="B18" s="202" t="s">
        <v>177</v>
      </c>
      <c r="C18" s="202"/>
      <c r="D18" s="202"/>
      <c r="E18" s="202"/>
      <c r="F18" s="202"/>
      <c r="G18" s="202"/>
      <c r="H18" s="202"/>
      <c r="I18" s="202"/>
      <c r="J18" s="202"/>
      <c r="K18" s="202"/>
      <c r="L18" s="202"/>
      <c r="M18" s="202"/>
      <c r="N18" s="202"/>
      <c r="O18" s="202"/>
      <c r="P18" s="202"/>
      <c r="Q18" s="202"/>
      <c r="R18" s="202"/>
      <c r="S18" s="202"/>
      <c r="T18" s="202"/>
      <c r="U18" s="202"/>
    </row>
    <row r="19" spans="1:21" ht="14.25">
      <c r="A19" s="185"/>
      <c r="B19" s="202" t="s">
        <v>176</v>
      </c>
      <c r="C19" s="202"/>
      <c r="D19" s="202"/>
      <c r="E19" s="202"/>
      <c r="F19" s="202"/>
      <c r="G19" s="202"/>
      <c r="H19" s="202"/>
      <c r="I19" s="202"/>
      <c r="J19" s="202"/>
      <c r="K19" s="202"/>
      <c r="L19" s="202"/>
      <c r="M19" s="202"/>
      <c r="N19" s="202"/>
      <c r="O19" s="202"/>
      <c r="P19" s="202"/>
      <c r="Q19" s="202"/>
      <c r="R19" s="202"/>
      <c r="S19" s="202"/>
      <c r="T19" s="202"/>
      <c r="U19" s="202"/>
    </row>
    <row r="20" spans="1:14" ht="15">
      <c r="A20" s="201"/>
      <c r="B20" s="201"/>
      <c r="C20" s="201"/>
      <c r="D20" s="201"/>
      <c r="E20" s="201"/>
      <c r="F20" s="201"/>
      <c r="G20" s="201"/>
      <c r="H20" s="201"/>
      <c r="I20" s="201"/>
      <c r="J20" s="201"/>
      <c r="K20" s="201"/>
      <c r="L20" s="201"/>
      <c r="M20" s="201"/>
      <c r="N20" s="201"/>
    </row>
    <row r="21" spans="1:8" ht="17.25">
      <c r="A21" s="180" t="s">
        <v>157</v>
      </c>
      <c r="B21" s="180"/>
      <c r="C21" s="180"/>
      <c r="D21" s="181"/>
      <c r="E21" s="181"/>
      <c r="F21" s="181"/>
      <c r="G21" s="181"/>
      <c r="H21" s="181"/>
    </row>
    <row r="22" spans="1:8" ht="8.25" customHeight="1">
      <c r="A22" s="180"/>
      <c r="B22" s="180"/>
      <c r="C22" s="180"/>
      <c r="D22" s="181"/>
      <c r="E22" s="181"/>
      <c r="F22" s="181"/>
      <c r="G22" s="181"/>
      <c r="H22" s="181"/>
    </row>
    <row r="23" spans="1:21" ht="14.25">
      <c r="A23" s="182" t="s">
        <v>165</v>
      </c>
      <c r="B23" s="186"/>
      <c r="C23" s="186"/>
      <c r="D23" s="186"/>
      <c r="E23" s="186"/>
      <c r="F23" s="186"/>
      <c r="G23" s="186"/>
      <c r="H23" s="186"/>
      <c r="I23" s="186"/>
      <c r="J23" s="186"/>
      <c r="K23" s="186"/>
      <c r="L23" s="186"/>
      <c r="M23" s="186"/>
      <c r="N23" s="186"/>
      <c r="P23" s="187"/>
      <c r="Q23" s="186"/>
      <c r="R23" s="186"/>
      <c r="S23" s="186"/>
      <c r="T23" s="186"/>
      <c r="U23" s="186"/>
    </row>
    <row r="24" spans="1:16" ht="15">
      <c r="A24" s="201" t="s">
        <v>166</v>
      </c>
      <c r="B24" s="201"/>
      <c r="C24" s="201"/>
      <c r="D24" s="201"/>
      <c r="E24" s="201"/>
      <c r="F24" s="201"/>
      <c r="G24" s="201"/>
      <c r="H24" s="201"/>
      <c r="I24" s="201"/>
      <c r="J24" s="201"/>
      <c r="K24" s="201"/>
      <c r="L24" s="201"/>
      <c r="M24" s="201"/>
      <c r="N24" s="201"/>
      <c r="P24" s="188"/>
    </row>
    <row r="25" spans="1:16" ht="15">
      <c r="A25" s="201" t="s">
        <v>167</v>
      </c>
      <c r="B25" s="201"/>
      <c r="C25" s="201"/>
      <c r="D25" s="201"/>
      <c r="E25" s="201"/>
      <c r="F25" s="201"/>
      <c r="G25" s="201"/>
      <c r="H25" s="201"/>
      <c r="I25" s="201"/>
      <c r="J25" s="201"/>
      <c r="K25" s="201"/>
      <c r="L25" s="201"/>
      <c r="M25" s="201"/>
      <c r="N25" s="201"/>
      <c r="P25" s="189">
        <f>10</f>
        <v>10</v>
      </c>
    </row>
    <row r="26" spans="1:8" ht="17.25">
      <c r="A26" s="180"/>
      <c r="B26" s="180"/>
      <c r="C26" s="180"/>
      <c r="D26" s="181"/>
      <c r="E26" s="181"/>
      <c r="F26" s="181"/>
      <c r="G26" s="181"/>
      <c r="H26" s="181"/>
    </row>
    <row r="27" spans="1:8" ht="14.25">
      <c r="A27" s="203" t="s">
        <v>158</v>
      </c>
      <c r="B27" s="203"/>
      <c r="C27" s="203"/>
      <c r="D27" s="203"/>
      <c r="E27" s="203"/>
      <c r="F27" s="203"/>
      <c r="G27" s="203"/>
      <c r="H27" s="203"/>
    </row>
    <row r="28" spans="1:8" ht="14.25">
      <c r="A28" s="183"/>
      <c r="B28" s="183"/>
      <c r="C28" s="183"/>
      <c r="D28" s="183"/>
      <c r="E28" s="183"/>
      <c r="F28" s="183"/>
      <c r="G28" s="183"/>
      <c r="H28" s="183"/>
    </row>
    <row r="29" spans="1:8" ht="14.25">
      <c r="A29" s="184" t="s">
        <v>160</v>
      </c>
      <c r="B29" s="184"/>
      <c r="C29" s="184" t="s">
        <v>162</v>
      </c>
      <c r="D29" s="184"/>
      <c r="E29" s="184"/>
      <c r="F29" s="184"/>
      <c r="G29" s="184"/>
      <c r="H29" s="184"/>
    </row>
    <row r="30" spans="1:8" ht="14.25">
      <c r="A30" s="184" t="s">
        <v>161</v>
      </c>
      <c r="B30" s="184"/>
      <c r="C30" s="184" t="s">
        <v>162</v>
      </c>
      <c r="D30" s="184"/>
      <c r="E30" s="184"/>
      <c r="F30" s="184"/>
      <c r="G30" s="184"/>
      <c r="H30" s="184"/>
    </row>
  </sheetData>
  <sheetProtection/>
  <mergeCells count="17">
    <mergeCell ref="B19:U19"/>
    <mergeCell ref="A24:N24"/>
    <mergeCell ref="A25:N25"/>
    <mergeCell ref="B16:U16"/>
    <mergeCell ref="A27:H27"/>
    <mergeCell ref="A1:U2"/>
    <mergeCell ref="A6:U6"/>
    <mergeCell ref="A20:N20"/>
    <mergeCell ref="A10:U10"/>
    <mergeCell ref="A7:N7"/>
    <mergeCell ref="B11:U11"/>
    <mergeCell ref="B12:U12"/>
    <mergeCell ref="B13:U13"/>
    <mergeCell ref="B14:U14"/>
    <mergeCell ref="B15:U15"/>
    <mergeCell ref="B17:U17"/>
    <mergeCell ref="B18:U18"/>
  </mergeCells>
  <hyperlinks>
    <hyperlink ref="B11" location="'(1)'!A1" display="(1) Maîtrise du taux de non-venue des patients"/>
    <hyperlink ref="B12" location="'(2)'!A1" display="(2) Optimisation du Codage"/>
    <hyperlink ref="B13" location="'(3)'!A1" display="(3) Amélioration du taux d'occupation"/>
    <hyperlink ref="B14" location="'(4)'!A1" display="(4) Optimisation du service dentaire"/>
    <hyperlink ref="B15" location="'(5)'!A1" display="(5) Optimisation du service imagerie"/>
    <hyperlink ref="B16" location="'(6)'!A1" display="(6) Option de coordination"/>
    <hyperlink ref="B17" location="'(7)'!A1" display="(7) Réduction du coût lié à la gestion du Tiers Payant"/>
    <hyperlink ref="B18" location="'(8)'!A1" display="(8) Maîtrise des ratios de personnels"/>
    <hyperlink ref="B19" location="'(9)'!A1" display="(9) Amélioration des achats"/>
    <hyperlink ref="B15:U15" location="'(5)'!A1" display="(5) Optimisation du service imagerie"/>
  </hyperlink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9"/>
  <sheetViews>
    <sheetView showGridLines="0" zoomScale="85" zoomScaleNormal="85" zoomScalePageLayoutView="0" workbookViewId="0" topLeftCell="A1">
      <pane xSplit="10" ySplit="25" topLeftCell="K26" activePane="bottomRight" state="frozen"/>
      <selection pane="topLeft" activeCell="B15" sqref="B15:U15"/>
      <selection pane="topRight" activeCell="B15" sqref="B15:U15"/>
      <selection pane="bottomLeft" activeCell="B15" sqref="B15:U15"/>
      <selection pane="bottomRight" activeCell="C24" sqref="C24"/>
    </sheetView>
  </sheetViews>
  <sheetFormatPr defaultColWidth="11.421875" defaultRowHeight="15"/>
  <cols>
    <col min="1" max="1" width="29.140625" style="0" bestFit="1" customWidth="1"/>
    <col min="2" max="7" width="22.7109375" style="0" customWidth="1"/>
    <col min="9" max="10" width="19.28125" style="0" customWidth="1"/>
    <col min="11" max="11" width="3.57421875" style="0" customWidth="1"/>
  </cols>
  <sheetData>
    <row r="1" spans="1:10" ht="25.5" customHeight="1">
      <c r="A1" s="211" t="s">
        <v>176</v>
      </c>
      <c r="B1" s="211"/>
      <c r="C1" s="211"/>
      <c r="D1" s="211"/>
      <c r="E1" s="211"/>
      <c r="F1" s="211"/>
      <c r="G1" s="211"/>
      <c r="H1" s="211"/>
      <c r="I1" s="211"/>
      <c r="J1" s="211"/>
    </row>
    <row r="3" spans="1:10" s="3" customFormat="1" ht="30">
      <c r="A3" s="138" t="s">
        <v>34</v>
      </c>
      <c r="B3" s="128" t="s">
        <v>89</v>
      </c>
      <c r="C3" s="128" t="s">
        <v>85</v>
      </c>
      <c r="D3" s="128" t="s">
        <v>90</v>
      </c>
      <c r="E3" s="128" t="s">
        <v>91</v>
      </c>
      <c r="F3" s="128" t="s">
        <v>92</v>
      </c>
      <c r="G3" s="128" t="s">
        <v>93</v>
      </c>
      <c r="H3" s="7"/>
      <c r="I3" s="1" t="s">
        <v>41</v>
      </c>
      <c r="J3" s="2">
        <f>SUM(B9:G9)</f>
        <v>360</v>
      </c>
    </row>
    <row r="4" spans="1:7" ht="15">
      <c r="A4" s="175" t="s">
        <v>86</v>
      </c>
      <c r="B4" s="179">
        <v>1200</v>
      </c>
      <c r="C4" s="179">
        <v>1200</v>
      </c>
      <c r="D4" s="179">
        <v>1200</v>
      </c>
      <c r="E4" s="179">
        <v>1200</v>
      </c>
      <c r="F4" s="179">
        <v>1200</v>
      </c>
      <c r="G4" s="179">
        <v>1200</v>
      </c>
    </row>
    <row r="5" spans="1:7" ht="15">
      <c r="A5" s="175" t="s">
        <v>87</v>
      </c>
      <c r="B5" s="179">
        <v>120</v>
      </c>
      <c r="C5" s="179">
        <v>120</v>
      </c>
      <c r="D5" s="179">
        <v>120</v>
      </c>
      <c r="E5" s="179">
        <v>120</v>
      </c>
      <c r="F5" s="179">
        <v>120</v>
      </c>
      <c r="G5" s="179">
        <v>120</v>
      </c>
    </row>
    <row r="6" spans="1:7" ht="15">
      <c r="A6" s="175" t="s">
        <v>88</v>
      </c>
      <c r="B6" s="177">
        <f>B5/B4</f>
        <v>0.1</v>
      </c>
      <c r="C6" s="176">
        <f>C5/C4</f>
        <v>0.1</v>
      </c>
      <c r="D6" s="176">
        <f>D5/D4</f>
        <v>0.1</v>
      </c>
      <c r="E6" s="176">
        <f>E5/E4</f>
        <v>0.1</v>
      </c>
      <c r="F6" s="176">
        <f>F5/F4</f>
        <v>0.1</v>
      </c>
      <c r="G6" s="176">
        <f>G5/G4</f>
        <v>0.1</v>
      </c>
    </row>
    <row r="7" spans="1:7" ht="32.25" customHeight="1" thickBot="1">
      <c r="A7" s="170" t="s">
        <v>153</v>
      </c>
      <c r="B7" s="6">
        <v>0.06</v>
      </c>
      <c r="C7" s="6">
        <v>0.2</v>
      </c>
      <c r="D7" s="6">
        <v>0.03</v>
      </c>
      <c r="E7" s="6">
        <v>0.2</v>
      </c>
      <c r="F7" s="6">
        <v>0.06</v>
      </c>
      <c r="G7" s="6">
        <v>0.2</v>
      </c>
    </row>
    <row r="8" spans="1:7" s="36" customFormat="1" ht="15.75" thickTop="1">
      <c r="A8" s="173"/>
      <c r="B8" s="174"/>
      <c r="C8" s="174"/>
      <c r="D8" s="174"/>
      <c r="E8" s="174"/>
      <c r="F8" s="174"/>
      <c r="G8" s="174"/>
    </row>
    <row r="9" spans="1:7" ht="15">
      <c r="A9" s="175" t="s">
        <v>154</v>
      </c>
      <c r="B9" s="178">
        <f>IF(B6&gt;B7,0,(B7-B6)*B4)</f>
        <v>0</v>
      </c>
      <c r="C9" s="178">
        <f>IF(C6&gt;C7,0,(C7-C6)*C4)</f>
        <v>120</v>
      </c>
      <c r="D9" s="178">
        <f>IF(D6&gt;D7,0,(D7-D6)*D4)</f>
        <v>0</v>
      </c>
      <c r="E9" s="178">
        <f>IF(E6&gt;E7,0,(E7-E6)*E4)</f>
        <v>120</v>
      </c>
      <c r="F9" s="178">
        <f>IF(F6&gt;F7,0,(F7-F6)*F4)</f>
        <v>0</v>
      </c>
      <c r="G9" s="178">
        <f>IF(G6&gt;G7,0,(G7-G6)*G4)</f>
        <v>120</v>
      </c>
    </row>
  </sheetData>
  <sheetProtection sheet="1" objects="1" scenarios="1" formatCells="0" formatColumns="0" formatRows="0"/>
  <mergeCells count="1">
    <mergeCell ref="A1:J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1"/>
  <sheetViews>
    <sheetView showGridLines="0" zoomScale="80" zoomScaleNormal="80" zoomScalePageLayoutView="0" workbookViewId="0" topLeftCell="A1">
      <pane xSplit="16" ySplit="3" topLeftCell="Q4" activePane="bottomRight" state="frozen"/>
      <selection pane="topLeft" activeCell="A25" sqref="A25:N25"/>
      <selection pane="topRight" activeCell="A25" sqref="A25:N25"/>
      <selection pane="bottomLeft" activeCell="A25" sqref="A25:N25"/>
      <selection pane="bottomRight" activeCell="A1" sqref="A1:P1"/>
    </sheetView>
  </sheetViews>
  <sheetFormatPr defaultColWidth="11.421875" defaultRowHeight="15"/>
  <cols>
    <col min="1" max="1" width="24.28125" style="117" customWidth="1"/>
    <col min="2" max="7" width="14.421875" style="72" customWidth="1"/>
    <col min="8" max="8" width="13.8515625" style="72" customWidth="1"/>
    <col min="9" max="13" width="14.421875" style="72" customWidth="1"/>
    <col min="14" max="14" width="2.140625" style="60" customWidth="1"/>
    <col min="15" max="15" width="18.00390625" style="60" customWidth="1"/>
    <col min="16" max="16" width="16.140625" style="60" customWidth="1"/>
    <col min="17" max="17" width="2.421875" style="60" customWidth="1"/>
    <col min="18" max="18" width="16.28125" style="60" bestFit="1" customWidth="1"/>
    <col min="19" max="19" width="25.7109375" style="60" bestFit="1" customWidth="1"/>
    <col min="20" max="20" width="16.28125" style="60" bestFit="1" customWidth="1"/>
    <col min="21" max="16384" width="11.421875" style="60" customWidth="1"/>
  </cols>
  <sheetData>
    <row r="1" spans="1:16" ht="25.5" customHeight="1">
      <c r="A1" s="209" t="s">
        <v>179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</row>
    <row r="2" spans="1:13" ht="15.75">
      <c r="A2" s="86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</row>
    <row r="3" spans="1:16" s="64" customFormat="1" ht="47.25" customHeight="1">
      <c r="A3" s="111" t="s">
        <v>137</v>
      </c>
      <c r="B3" s="103" t="s">
        <v>40</v>
      </c>
      <c r="C3" s="103" t="s">
        <v>36</v>
      </c>
      <c r="D3" s="103" t="s">
        <v>33</v>
      </c>
      <c r="E3" s="103" t="s">
        <v>38</v>
      </c>
      <c r="F3" s="103" t="s">
        <v>32</v>
      </c>
      <c r="G3" s="103" t="s">
        <v>31</v>
      </c>
      <c r="H3" s="103" t="s">
        <v>42</v>
      </c>
      <c r="I3" s="103" t="s">
        <v>39</v>
      </c>
      <c r="J3" s="103" t="s">
        <v>37</v>
      </c>
      <c r="K3" s="103" t="s">
        <v>0</v>
      </c>
      <c r="L3" s="104" t="s">
        <v>140</v>
      </c>
      <c r="M3" s="103" t="s">
        <v>1</v>
      </c>
      <c r="N3" s="61"/>
      <c r="O3" s="62" t="s">
        <v>41</v>
      </c>
      <c r="P3" s="63">
        <f>SUM(M4:M42)</f>
        <v>82907.80141843972</v>
      </c>
    </row>
    <row r="4" spans="1:13" ht="15">
      <c r="A4" s="112" t="s">
        <v>4</v>
      </c>
      <c r="B4" s="76">
        <v>1200</v>
      </c>
      <c r="C4" s="76">
        <v>300</v>
      </c>
      <c r="D4" s="76">
        <v>110</v>
      </c>
      <c r="E4" s="76">
        <v>100</v>
      </c>
      <c r="F4" s="65">
        <f>B4+C4</f>
        <v>1500</v>
      </c>
      <c r="G4" s="66">
        <f>IF(D4+B4+E4&gt;0,D4/(D4+B4+E4),0)</f>
        <v>0.07801418439716312</v>
      </c>
      <c r="H4" s="80">
        <v>4</v>
      </c>
      <c r="I4" s="81">
        <v>0.2</v>
      </c>
      <c r="J4" s="66">
        <f>IF(D4+B4+E4&gt;0,E4/(D4+B4+E4),0)</f>
        <v>0.07092198581560284</v>
      </c>
      <c r="K4" s="83">
        <v>100000</v>
      </c>
      <c r="L4" s="67">
        <f aca="true" t="shared" si="0" ref="L4:L33">0.9-J4</f>
        <v>0.8290780141843972</v>
      </c>
      <c r="M4" s="68">
        <f>IF(L4&gt;0,K4*L4)</f>
        <v>82907.80141843972</v>
      </c>
    </row>
    <row r="5" spans="1:13" ht="15">
      <c r="A5" s="113" t="s">
        <v>51</v>
      </c>
      <c r="B5" s="78"/>
      <c r="C5" s="78"/>
      <c r="D5" s="78"/>
      <c r="E5" s="78"/>
      <c r="F5" s="65">
        <f aca="true" t="shared" si="1" ref="F5:F33">B5+C5</f>
        <v>0</v>
      </c>
      <c r="G5" s="69">
        <f aca="true" t="shared" si="2" ref="G5:G33">IF(B5&lt;&gt;0,D5/B5,0)</f>
        <v>0</v>
      </c>
      <c r="H5" s="82" t="s">
        <v>43</v>
      </c>
      <c r="I5" s="82">
        <v>0</v>
      </c>
      <c r="J5" s="69">
        <f>IF(B5&lt;&gt;0,(F5-C5)/B5,0)</f>
        <v>0</v>
      </c>
      <c r="K5" s="84"/>
      <c r="L5" s="70">
        <f t="shared" si="0"/>
        <v>0.9</v>
      </c>
      <c r="M5" s="71">
        <f>IF(L5&gt;0,K5*L5)</f>
        <v>0</v>
      </c>
    </row>
    <row r="6" spans="1:13" ht="15">
      <c r="A6" s="113" t="s">
        <v>52</v>
      </c>
      <c r="B6" s="78"/>
      <c r="C6" s="78"/>
      <c r="D6" s="78"/>
      <c r="E6" s="78"/>
      <c r="F6" s="65">
        <f t="shared" si="1"/>
        <v>0</v>
      </c>
      <c r="G6" s="69">
        <f t="shared" si="2"/>
        <v>0</v>
      </c>
      <c r="H6" s="82" t="s">
        <v>43</v>
      </c>
      <c r="I6" s="82">
        <v>0</v>
      </c>
      <c r="J6" s="69">
        <f aca="true" t="shared" si="3" ref="J6:J33">IF(B6&lt;&gt;0,(F6-C6)/B6,0)</f>
        <v>0</v>
      </c>
      <c r="K6" s="84"/>
      <c r="L6" s="70">
        <f t="shared" si="0"/>
        <v>0.9</v>
      </c>
      <c r="M6" s="71">
        <f aca="true" t="shared" si="4" ref="M6:M33">IF(L6&gt;0,K6*L6)</f>
        <v>0</v>
      </c>
    </row>
    <row r="7" spans="1:13" ht="15">
      <c r="A7" s="113" t="s">
        <v>107</v>
      </c>
      <c r="B7" s="78"/>
      <c r="C7" s="78"/>
      <c r="D7" s="78"/>
      <c r="E7" s="78"/>
      <c r="F7" s="65">
        <f t="shared" si="1"/>
        <v>0</v>
      </c>
      <c r="G7" s="69">
        <f t="shared" si="2"/>
        <v>0</v>
      </c>
      <c r="H7" s="82" t="s">
        <v>43</v>
      </c>
      <c r="I7" s="82">
        <v>0</v>
      </c>
      <c r="J7" s="69">
        <f t="shared" si="3"/>
        <v>0</v>
      </c>
      <c r="K7" s="84"/>
      <c r="L7" s="70">
        <f t="shared" si="0"/>
        <v>0.9</v>
      </c>
      <c r="M7" s="71">
        <f t="shared" si="4"/>
        <v>0</v>
      </c>
    </row>
    <row r="8" spans="1:13" ht="15">
      <c r="A8" s="113" t="s">
        <v>30</v>
      </c>
      <c r="B8" s="78"/>
      <c r="C8" s="78"/>
      <c r="D8" s="78"/>
      <c r="E8" s="78"/>
      <c r="F8" s="65">
        <f t="shared" si="1"/>
        <v>0</v>
      </c>
      <c r="G8" s="69">
        <f t="shared" si="2"/>
        <v>0</v>
      </c>
      <c r="H8" s="82" t="s">
        <v>43</v>
      </c>
      <c r="I8" s="82">
        <v>0</v>
      </c>
      <c r="J8" s="69">
        <f t="shared" si="3"/>
        <v>0</v>
      </c>
      <c r="K8" s="84"/>
      <c r="L8" s="70">
        <f t="shared" si="0"/>
        <v>0.9</v>
      </c>
      <c r="M8" s="71">
        <f t="shared" si="4"/>
        <v>0</v>
      </c>
    </row>
    <row r="9" spans="1:13" ht="15">
      <c r="A9" s="113" t="s">
        <v>5</v>
      </c>
      <c r="B9" s="78"/>
      <c r="C9" s="78"/>
      <c r="D9" s="78"/>
      <c r="E9" s="78"/>
      <c r="F9" s="65">
        <f t="shared" si="1"/>
        <v>0</v>
      </c>
      <c r="G9" s="69">
        <f t="shared" si="2"/>
        <v>0</v>
      </c>
      <c r="H9" s="82" t="s">
        <v>43</v>
      </c>
      <c r="I9" s="82">
        <v>0</v>
      </c>
      <c r="J9" s="69">
        <f t="shared" si="3"/>
        <v>0</v>
      </c>
      <c r="K9" s="84"/>
      <c r="L9" s="70">
        <f t="shared" si="0"/>
        <v>0.9</v>
      </c>
      <c r="M9" s="71">
        <f t="shared" si="4"/>
        <v>0</v>
      </c>
    </row>
    <row r="10" spans="1:13" ht="15">
      <c r="A10" s="113" t="s">
        <v>10</v>
      </c>
      <c r="B10" s="78"/>
      <c r="C10" s="78"/>
      <c r="D10" s="78"/>
      <c r="E10" s="78"/>
      <c r="F10" s="65">
        <f t="shared" si="1"/>
        <v>0</v>
      </c>
      <c r="G10" s="69">
        <f t="shared" si="2"/>
        <v>0</v>
      </c>
      <c r="H10" s="82" t="s">
        <v>43</v>
      </c>
      <c r="I10" s="82">
        <v>0</v>
      </c>
      <c r="J10" s="69">
        <f t="shared" si="3"/>
        <v>0</v>
      </c>
      <c r="K10" s="84"/>
      <c r="L10" s="70">
        <f t="shared" si="0"/>
        <v>0.9</v>
      </c>
      <c r="M10" s="71">
        <f t="shared" si="4"/>
        <v>0</v>
      </c>
    </row>
    <row r="11" spans="1:13" ht="14.25">
      <c r="A11" s="113" t="s">
        <v>11</v>
      </c>
      <c r="B11" s="78"/>
      <c r="C11" s="78"/>
      <c r="D11" s="78"/>
      <c r="E11" s="78"/>
      <c r="F11" s="65">
        <f t="shared" si="1"/>
        <v>0</v>
      </c>
      <c r="G11" s="69">
        <f t="shared" si="2"/>
        <v>0</v>
      </c>
      <c r="H11" s="82" t="s">
        <v>43</v>
      </c>
      <c r="I11" s="82">
        <v>0</v>
      </c>
      <c r="J11" s="69">
        <f t="shared" si="3"/>
        <v>0</v>
      </c>
      <c r="K11" s="84"/>
      <c r="L11" s="70">
        <f t="shared" si="0"/>
        <v>0.9</v>
      </c>
      <c r="M11" s="71">
        <f t="shared" si="4"/>
        <v>0</v>
      </c>
    </row>
    <row r="12" spans="1:13" ht="14.25">
      <c r="A12" s="113" t="s">
        <v>6</v>
      </c>
      <c r="B12" s="78"/>
      <c r="C12" s="78"/>
      <c r="D12" s="78"/>
      <c r="E12" s="78"/>
      <c r="F12" s="65">
        <f t="shared" si="1"/>
        <v>0</v>
      </c>
      <c r="G12" s="69">
        <f t="shared" si="2"/>
        <v>0</v>
      </c>
      <c r="H12" s="82" t="s">
        <v>43</v>
      </c>
      <c r="I12" s="82">
        <v>0</v>
      </c>
      <c r="J12" s="69">
        <f t="shared" si="3"/>
        <v>0</v>
      </c>
      <c r="K12" s="84"/>
      <c r="L12" s="70">
        <f t="shared" si="0"/>
        <v>0.9</v>
      </c>
      <c r="M12" s="71">
        <f t="shared" si="4"/>
        <v>0</v>
      </c>
    </row>
    <row r="13" spans="1:13" ht="15">
      <c r="A13" s="113" t="s">
        <v>108</v>
      </c>
      <c r="B13" s="78"/>
      <c r="C13" s="78"/>
      <c r="D13" s="78"/>
      <c r="E13" s="78"/>
      <c r="F13" s="65">
        <f t="shared" si="1"/>
        <v>0</v>
      </c>
      <c r="G13" s="69">
        <f t="shared" si="2"/>
        <v>0</v>
      </c>
      <c r="H13" s="82" t="s">
        <v>43</v>
      </c>
      <c r="I13" s="82">
        <v>0</v>
      </c>
      <c r="J13" s="69">
        <f t="shared" si="3"/>
        <v>0</v>
      </c>
      <c r="K13" s="84"/>
      <c r="L13" s="70">
        <f t="shared" si="0"/>
        <v>0.9</v>
      </c>
      <c r="M13" s="71">
        <f t="shared" si="4"/>
        <v>0</v>
      </c>
    </row>
    <row r="14" spans="1:13" ht="14.25">
      <c r="A14" s="113" t="s">
        <v>109</v>
      </c>
      <c r="B14" s="78"/>
      <c r="C14" s="78"/>
      <c r="D14" s="78"/>
      <c r="E14" s="78"/>
      <c r="F14" s="65">
        <f t="shared" si="1"/>
        <v>0</v>
      </c>
      <c r="G14" s="69">
        <f t="shared" si="2"/>
        <v>0</v>
      </c>
      <c r="H14" s="82" t="s">
        <v>43</v>
      </c>
      <c r="I14" s="82">
        <v>0</v>
      </c>
      <c r="J14" s="69">
        <f t="shared" si="3"/>
        <v>0</v>
      </c>
      <c r="K14" s="84"/>
      <c r="L14" s="70">
        <f t="shared" si="0"/>
        <v>0.9</v>
      </c>
      <c r="M14" s="71">
        <f t="shared" si="4"/>
        <v>0</v>
      </c>
    </row>
    <row r="15" spans="1:13" ht="15">
      <c r="A15" s="113" t="s">
        <v>110</v>
      </c>
      <c r="B15" s="78"/>
      <c r="C15" s="78"/>
      <c r="D15" s="78"/>
      <c r="E15" s="78"/>
      <c r="F15" s="65">
        <f t="shared" si="1"/>
        <v>0</v>
      </c>
      <c r="G15" s="69">
        <f t="shared" si="2"/>
        <v>0</v>
      </c>
      <c r="H15" s="82" t="s">
        <v>43</v>
      </c>
      <c r="I15" s="82">
        <v>0</v>
      </c>
      <c r="J15" s="69">
        <f t="shared" si="3"/>
        <v>0</v>
      </c>
      <c r="K15" s="84"/>
      <c r="L15" s="70">
        <f t="shared" si="0"/>
        <v>0.9</v>
      </c>
      <c r="M15" s="71">
        <f t="shared" si="4"/>
        <v>0</v>
      </c>
    </row>
    <row r="16" spans="1:13" ht="14.25">
      <c r="A16" s="113" t="s">
        <v>12</v>
      </c>
      <c r="B16" s="78"/>
      <c r="C16" s="78"/>
      <c r="D16" s="78"/>
      <c r="E16" s="78"/>
      <c r="F16" s="65">
        <f t="shared" si="1"/>
        <v>0</v>
      </c>
      <c r="G16" s="69">
        <f t="shared" si="2"/>
        <v>0</v>
      </c>
      <c r="H16" s="82" t="s">
        <v>43</v>
      </c>
      <c r="I16" s="82">
        <v>0</v>
      </c>
      <c r="J16" s="69">
        <f t="shared" si="3"/>
        <v>0</v>
      </c>
      <c r="K16" s="84"/>
      <c r="L16" s="70">
        <f t="shared" si="0"/>
        <v>0.9</v>
      </c>
      <c r="M16" s="71">
        <f t="shared" si="4"/>
        <v>0</v>
      </c>
    </row>
    <row r="17" spans="1:13" ht="14.25">
      <c r="A17" s="113" t="s">
        <v>35</v>
      </c>
      <c r="B17" s="78"/>
      <c r="C17" s="78"/>
      <c r="D17" s="78"/>
      <c r="E17" s="78"/>
      <c r="F17" s="65">
        <f t="shared" si="1"/>
        <v>0</v>
      </c>
      <c r="G17" s="69">
        <f t="shared" si="2"/>
        <v>0</v>
      </c>
      <c r="H17" s="82" t="s">
        <v>43</v>
      </c>
      <c r="I17" s="82">
        <v>0</v>
      </c>
      <c r="J17" s="69">
        <f t="shared" si="3"/>
        <v>0</v>
      </c>
      <c r="K17" s="84"/>
      <c r="L17" s="70">
        <f t="shared" si="0"/>
        <v>0.9</v>
      </c>
      <c r="M17" s="71">
        <f t="shared" si="4"/>
        <v>0</v>
      </c>
    </row>
    <row r="18" spans="1:13" ht="15">
      <c r="A18" s="113" t="s">
        <v>13</v>
      </c>
      <c r="B18" s="78"/>
      <c r="C18" s="78"/>
      <c r="D18" s="78"/>
      <c r="E18" s="78"/>
      <c r="F18" s="65">
        <f t="shared" si="1"/>
        <v>0</v>
      </c>
      <c r="G18" s="69">
        <f t="shared" si="2"/>
        <v>0</v>
      </c>
      <c r="H18" s="82" t="s">
        <v>43</v>
      </c>
      <c r="I18" s="82">
        <v>0</v>
      </c>
      <c r="J18" s="69">
        <f t="shared" si="3"/>
        <v>0</v>
      </c>
      <c r="K18" s="84"/>
      <c r="L18" s="70">
        <f t="shared" si="0"/>
        <v>0.9</v>
      </c>
      <c r="M18" s="71">
        <f t="shared" si="4"/>
        <v>0</v>
      </c>
    </row>
    <row r="19" spans="1:13" ht="15">
      <c r="A19" s="113" t="s">
        <v>14</v>
      </c>
      <c r="B19" s="78"/>
      <c r="C19" s="78"/>
      <c r="D19" s="78"/>
      <c r="E19" s="78"/>
      <c r="F19" s="65">
        <f t="shared" si="1"/>
        <v>0</v>
      </c>
      <c r="G19" s="69">
        <f t="shared" si="2"/>
        <v>0</v>
      </c>
      <c r="H19" s="82" t="s">
        <v>43</v>
      </c>
      <c r="I19" s="82">
        <v>0</v>
      </c>
      <c r="J19" s="69">
        <f t="shared" si="3"/>
        <v>0</v>
      </c>
      <c r="K19" s="84"/>
      <c r="L19" s="70">
        <f t="shared" si="0"/>
        <v>0.9</v>
      </c>
      <c r="M19" s="71">
        <f t="shared" si="4"/>
        <v>0</v>
      </c>
    </row>
    <row r="20" spans="1:13" ht="15">
      <c r="A20" s="113" t="s">
        <v>7</v>
      </c>
      <c r="B20" s="78"/>
      <c r="C20" s="78"/>
      <c r="D20" s="78"/>
      <c r="E20" s="78"/>
      <c r="F20" s="65">
        <f t="shared" si="1"/>
        <v>0</v>
      </c>
      <c r="G20" s="69">
        <f t="shared" si="2"/>
        <v>0</v>
      </c>
      <c r="H20" s="82" t="s">
        <v>43</v>
      </c>
      <c r="I20" s="82">
        <v>0</v>
      </c>
      <c r="J20" s="69">
        <f t="shared" si="3"/>
        <v>0</v>
      </c>
      <c r="K20" s="84"/>
      <c r="L20" s="70">
        <f t="shared" si="0"/>
        <v>0.9</v>
      </c>
      <c r="M20" s="71">
        <f t="shared" si="4"/>
        <v>0</v>
      </c>
    </row>
    <row r="21" spans="1:13" ht="15">
      <c r="A21" s="113" t="s">
        <v>111</v>
      </c>
      <c r="B21" s="78"/>
      <c r="C21" s="78"/>
      <c r="D21" s="78"/>
      <c r="E21" s="78"/>
      <c r="F21" s="65">
        <f t="shared" si="1"/>
        <v>0</v>
      </c>
      <c r="G21" s="69">
        <f t="shared" si="2"/>
        <v>0</v>
      </c>
      <c r="H21" s="82" t="s">
        <v>43</v>
      </c>
      <c r="I21" s="82">
        <v>0</v>
      </c>
      <c r="J21" s="69">
        <f t="shared" si="3"/>
        <v>0</v>
      </c>
      <c r="K21" s="84"/>
      <c r="L21" s="70">
        <f t="shared" si="0"/>
        <v>0.9</v>
      </c>
      <c r="M21" s="71">
        <f t="shared" si="4"/>
        <v>0</v>
      </c>
    </row>
    <row r="22" spans="1:13" ht="15">
      <c r="A22" s="113" t="s">
        <v>112</v>
      </c>
      <c r="B22" s="78"/>
      <c r="C22" s="78"/>
      <c r="D22" s="78"/>
      <c r="E22" s="78"/>
      <c r="F22" s="65">
        <f t="shared" si="1"/>
        <v>0</v>
      </c>
      <c r="G22" s="69">
        <f t="shared" si="2"/>
        <v>0</v>
      </c>
      <c r="H22" s="82" t="s">
        <v>43</v>
      </c>
      <c r="I22" s="82">
        <v>0</v>
      </c>
      <c r="J22" s="69">
        <f t="shared" si="3"/>
        <v>0</v>
      </c>
      <c r="K22" s="84"/>
      <c r="L22" s="70">
        <f t="shared" si="0"/>
        <v>0.9</v>
      </c>
      <c r="M22" s="71">
        <f t="shared" si="4"/>
        <v>0</v>
      </c>
    </row>
    <row r="23" spans="1:13" ht="14.25">
      <c r="A23" s="113" t="s">
        <v>15</v>
      </c>
      <c r="B23" s="78"/>
      <c r="C23" s="78"/>
      <c r="D23" s="78"/>
      <c r="E23" s="78"/>
      <c r="F23" s="65">
        <f t="shared" si="1"/>
        <v>0</v>
      </c>
      <c r="G23" s="69">
        <f t="shared" si="2"/>
        <v>0</v>
      </c>
      <c r="H23" s="82" t="s">
        <v>43</v>
      </c>
      <c r="I23" s="82">
        <v>0</v>
      </c>
      <c r="J23" s="69">
        <f t="shared" si="3"/>
        <v>0</v>
      </c>
      <c r="K23" s="84"/>
      <c r="L23" s="70">
        <f t="shared" si="0"/>
        <v>0.9</v>
      </c>
      <c r="M23" s="71">
        <f t="shared" si="4"/>
        <v>0</v>
      </c>
    </row>
    <row r="24" spans="1:13" ht="15">
      <c r="A24" s="113" t="s">
        <v>53</v>
      </c>
      <c r="B24" s="78"/>
      <c r="C24" s="78"/>
      <c r="D24" s="78"/>
      <c r="E24" s="78"/>
      <c r="F24" s="65">
        <f t="shared" si="1"/>
        <v>0</v>
      </c>
      <c r="G24" s="69">
        <f t="shared" si="2"/>
        <v>0</v>
      </c>
      <c r="H24" s="82" t="s">
        <v>43</v>
      </c>
      <c r="I24" s="82">
        <v>0</v>
      </c>
      <c r="J24" s="69">
        <f t="shared" si="3"/>
        <v>0</v>
      </c>
      <c r="K24" s="84"/>
      <c r="L24" s="70">
        <f t="shared" si="0"/>
        <v>0.9</v>
      </c>
      <c r="M24" s="71">
        <f t="shared" si="4"/>
        <v>0</v>
      </c>
    </row>
    <row r="25" spans="1:13" ht="14.25">
      <c r="A25" s="113" t="s">
        <v>113</v>
      </c>
      <c r="B25" s="78"/>
      <c r="C25" s="78"/>
      <c r="D25" s="78"/>
      <c r="E25" s="78"/>
      <c r="F25" s="65">
        <f t="shared" si="1"/>
        <v>0</v>
      </c>
      <c r="G25" s="69">
        <f t="shared" si="2"/>
        <v>0</v>
      </c>
      <c r="H25" s="82" t="s">
        <v>43</v>
      </c>
      <c r="I25" s="82">
        <v>0</v>
      </c>
      <c r="J25" s="69">
        <f t="shared" si="3"/>
        <v>0</v>
      </c>
      <c r="K25" s="84"/>
      <c r="L25" s="70">
        <f t="shared" si="0"/>
        <v>0.9</v>
      </c>
      <c r="M25" s="71">
        <f t="shared" si="4"/>
        <v>0</v>
      </c>
    </row>
    <row r="26" spans="1:13" ht="14.25">
      <c r="A26" s="113" t="s">
        <v>114</v>
      </c>
      <c r="B26" s="78"/>
      <c r="C26" s="78"/>
      <c r="D26" s="78"/>
      <c r="E26" s="78"/>
      <c r="F26" s="65">
        <f t="shared" si="1"/>
        <v>0</v>
      </c>
      <c r="G26" s="69">
        <f t="shared" si="2"/>
        <v>0</v>
      </c>
      <c r="H26" s="82" t="s">
        <v>43</v>
      </c>
      <c r="I26" s="82">
        <v>0</v>
      </c>
      <c r="J26" s="69">
        <f t="shared" si="3"/>
        <v>0</v>
      </c>
      <c r="K26" s="84"/>
      <c r="L26" s="70">
        <f t="shared" si="0"/>
        <v>0.9</v>
      </c>
      <c r="M26" s="71">
        <f t="shared" si="4"/>
        <v>0</v>
      </c>
    </row>
    <row r="27" spans="1:13" ht="15">
      <c r="A27" s="113" t="s">
        <v>16</v>
      </c>
      <c r="B27" s="78"/>
      <c r="C27" s="78"/>
      <c r="D27" s="78"/>
      <c r="E27" s="78"/>
      <c r="F27" s="65">
        <f t="shared" si="1"/>
        <v>0</v>
      </c>
      <c r="G27" s="69">
        <f t="shared" si="2"/>
        <v>0</v>
      </c>
      <c r="H27" s="82" t="s">
        <v>43</v>
      </c>
      <c r="I27" s="82">
        <v>0</v>
      </c>
      <c r="J27" s="69">
        <f t="shared" si="3"/>
        <v>0</v>
      </c>
      <c r="K27" s="84"/>
      <c r="L27" s="70">
        <f t="shared" si="0"/>
        <v>0.9</v>
      </c>
      <c r="M27" s="71">
        <f t="shared" si="4"/>
        <v>0</v>
      </c>
    </row>
    <row r="28" spans="1:13" ht="15">
      <c r="A28" s="113" t="s">
        <v>8</v>
      </c>
      <c r="B28" s="78"/>
      <c r="C28" s="78"/>
      <c r="D28" s="78"/>
      <c r="E28" s="78"/>
      <c r="F28" s="65">
        <f t="shared" si="1"/>
        <v>0</v>
      </c>
      <c r="G28" s="69">
        <f t="shared" si="2"/>
        <v>0</v>
      </c>
      <c r="H28" s="82" t="s">
        <v>43</v>
      </c>
      <c r="I28" s="82">
        <v>0</v>
      </c>
      <c r="J28" s="69">
        <f t="shared" si="3"/>
        <v>0</v>
      </c>
      <c r="K28" s="84"/>
      <c r="L28" s="70">
        <f t="shared" si="0"/>
        <v>0.9</v>
      </c>
      <c r="M28" s="71">
        <f t="shared" si="4"/>
        <v>0</v>
      </c>
    </row>
    <row r="29" spans="1:13" ht="15">
      <c r="A29" s="113" t="s">
        <v>115</v>
      </c>
      <c r="B29" s="78"/>
      <c r="C29" s="78"/>
      <c r="D29" s="78"/>
      <c r="E29" s="78"/>
      <c r="F29" s="65">
        <f t="shared" si="1"/>
        <v>0</v>
      </c>
      <c r="G29" s="69">
        <f t="shared" si="2"/>
        <v>0</v>
      </c>
      <c r="H29" s="82" t="s">
        <v>43</v>
      </c>
      <c r="I29" s="82">
        <v>0</v>
      </c>
      <c r="J29" s="69">
        <f t="shared" si="3"/>
        <v>0</v>
      </c>
      <c r="K29" s="84"/>
      <c r="L29" s="70">
        <f t="shared" si="0"/>
        <v>0.9</v>
      </c>
      <c r="M29" s="71">
        <f t="shared" si="4"/>
        <v>0</v>
      </c>
    </row>
    <row r="30" spans="1:13" ht="14.25">
      <c r="A30" s="114" t="s">
        <v>116</v>
      </c>
      <c r="B30" s="78"/>
      <c r="C30" s="78"/>
      <c r="D30" s="78"/>
      <c r="E30" s="78"/>
      <c r="F30" s="65">
        <f t="shared" si="1"/>
        <v>0</v>
      </c>
      <c r="G30" s="69">
        <f t="shared" si="2"/>
        <v>0</v>
      </c>
      <c r="H30" s="82" t="s">
        <v>43</v>
      </c>
      <c r="I30" s="82">
        <v>0</v>
      </c>
      <c r="J30" s="69">
        <f t="shared" si="3"/>
        <v>0</v>
      </c>
      <c r="K30" s="84"/>
      <c r="L30" s="70">
        <f t="shared" si="0"/>
        <v>0.9</v>
      </c>
      <c r="M30" s="71">
        <f t="shared" si="4"/>
        <v>0</v>
      </c>
    </row>
    <row r="31" spans="1:13" ht="14.25">
      <c r="A31" s="114" t="s">
        <v>9</v>
      </c>
      <c r="B31" s="78"/>
      <c r="C31" s="78"/>
      <c r="D31" s="78"/>
      <c r="E31" s="78"/>
      <c r="F31" s="65">
        <f t="shared" si="1"/>
        <v>0</v>
      </c>
      <c r="G31" s="69">
        <f t="shared" si="2"/>
        <v>0</v>
      </c>
      <c r="H31" s="82" t="s">
        <v>43</v>
      </c>
      <c r="I31" s="82">
        <v>0</v>
      </c>
      <c r="J31" s="69">
        <f t="shared" si="3"/>
        <v>0</v>
      </c>
      <c r="K31" s="84"/>
      <c r="L31" s="70">
        <f t="shared" si="0"/>
        <v>0.9</v>
      </c>
      <c r="M31" s="71">
        <f t="shared" si="4"/>
        <v>0</v>
      </c>
    </row>
    <row r="32" spans="1:13" ht="14.25">
      <c r="A32" s="115"/>
      <c r="B32" s="78"/>
      <c r="C32" s="78"/>
      <c r="D32" s="78"/>
      <c r="E32" s="78"/>
      <c r="F32" s="65">
        <f t="shared" si="1"/>
        <v>0</v>
      </c>
      <c r="G32" s="69">
        <f t="shared" si="2"/>
        <v>0</v>
      </c>
      <c r="H32" s="82" t="s">
        <v>43</v>
      </c>
      <c r="I32" s="82">
        <v>0</v>
      </c>
      <c r="J32" s="69">
        <f t="shared" si="3"/>
        <v>0</v>
      </c>
      <c r="K32" s="84"/>
      <c r="L32" s="70">
        <f t="shared" si="0"/>
        <v>0.9</v>
      </c>
      <c r="M32" s="71">
        <f t="shared" si="4"/>
        <v>0</v>
      </c>
    </row>
    <row r="33" spans="1:13" ht="14.25">
      <c r="A33" s="116"/>
      <c r="B33" s="78"/>
      <c r="C33" s="78"/>
      <c r="D33" s="78"/>
      <c r="E33" s="78"/>
      <c r="F33" s="65">
        <f t="shared" si="1"/>
        <v>0</v>
      </c>
      <c r="G33" s="69">
        <f t="shared" si="2"/>
        <v>0</v>
      </c>
      <c r="H33" s="82" t="s">
        <v>43</v>
      </c>
      <c r="I33" s="82">
        <v>0</v>
      </c>
      <c r="J33" s="69">
        <f t="shared" si="3"/>
        <v>0</v>
      </c>
      <c r="K33" s="84"/>
      <c r="L33" s="70">
        <f t="shared" si="0"/>
        <v>0.9</v>
      </c>
      <c r="M33" s="71">
        <f t="shared" si="4"/>
        <v>0</v>
      </c>
    </row>
    <row r="34" spans="1:13" ht="14.25">
      <c r="A34" s="116"/>
      <c r="B34" s="78"/>
      <c r="C34" s="78"/>
      <c r="D34" s="78"/>
      <c r="E34" s="78"/>
      <c r="F34" s="65">
        <f aca="true" t="shared" si="5" ref="F34:F42">B34+C34</f>
        <v>0</v>
      </c>
      <c r="G34" s="69">
        <f aca="true" t="shared" si="6" ref="G34:G42">IF(B34&lt;&gt;0,D34/B34,0)</f>
        <v>0</v>
      </c>
      <c r="H34" s="82" t="s">
        <v>43</v>
      </c>
      <c r="I34" s="82">
        <v>0</v>
      </c>
      <c r="J34" s="69">
        <f aca="true" t="shared" si="7" ref="J34:J42">IF(B34&lt;&gt;0,(F34-C34)/B34,0)</f>
        <v>0</v>
      </c>
      <c r="K34" s="84"/>
      <c r="L34" s="70">
        <f aca="true" t="shared" si="8" ref="L34:L42">0.9-J34</f>
        <v>0.9</v>
      </c>
      <c r="M34" s="71">
        <f aca="true" t="shared" si="9" ref="M34:M42">IF(L34&gt;0,K34*L34)</f>
        <v>0</v>
      </c>
    </row>
    <row r="35" spans="1:13" ht="14.25">
      <c r="A35" s="116"/>
      <c r="B35" s="78"/>
      <c r="C35" s="78"/>
      <c r="D35" s="78"/>
      <c r="E35" s="78"/>
      <c r="F35" s="65">
        <f t="shared" si="5"/>
        <v>0</v>
      </c>
      <c r="G35" s="69">
        <f t="shared" si="6"/>
        <v>0</v>
      </c>
      <c r="H35" s="82" t="s">
        <v>43</v>
      </c>
      <c r="I35" s="82">
        <v>0</v>
      </c>
      <c r="J35" s="69">
        <f t="shared" si="7"/>
        <v>0</v>
      </c>
      <c r="K35" s="84"/>
      <c r="L35" s="70">
        <f t="shared" si="8"/>
        <v>0.9</v>
      </c>
      <c r="M35" s="71">
        <f t="shared" si="9"/>
        <v>0</v>
      </c>
    </row>
    <row r="36" spans="1:13" ht="14.25">
      <c r="A36" s="116"/>
      <c r="B36" s="78"/>
      <c r="C36" s="78"/>
      <c r="D36" s="78"/>
      <c r="E36" s="78"/>
      <c r="F36" s="65">
        <f t="shared" si="5"/>
        <v>0</v>
      </c>
      <c r="G36" s="69">
        <f t="shared" si="6"/>
        <v>0</v>
      </c>
      <c r="H36" s="82" t="s">
        <v>43</v>
      </c>
      <c r="I36" s="82">
        <v>0</v>
      </c>
      <c r="J36" s="69">
        <f t="shared" si="7"/>
        <v>0</v>
      </c>
      <c r="K36" s="84"/>
      <c r="L36" s="70">
        <f t="shared" si="8"/>
        <v>0.9</v>
      </c>
      <c r="M36" s="71">
        <f t="shared" si="9"/>
        <v>0</v>
      </c>
    </row>
    <row r="37" spans="1:13" ht="14.25">
      <c r="A37" s="116"/>
      <c r="B37" s="78"/>
      <c r="C37" s="78"/>
      <c r="D37" s="78"/>
      <c r="E37" s="78"/>
      <c r="F37" s="65">
        <f t="shared" si="5"/>
        <v>0</v>
      </c>
      <c r="G37" s="69">
        <f t="shared" si="6"/>
        <v>0</v>
      </c>
      <c r="H37" s="82" t="s">
        <v>43</v>
      </c>
      <c r="I37" s="82">
        <v>0</v>
      </c>
      <c r="J37" s="69">
        <f t="shared" si="7"/>
        <v>0</v>
      </c>
      <c r="K37" s="84"/>
      <c r="L37" s="70">
        <f t="shared" si="8"/>
        <v>0.9</v>
      </c>
      <c r="M37" s="71">
        <f t="shared" si="9"/>
        <v>0</v>
      </c>
    </row>
    <row r="38" spans="1:13" ht="14.25">
      <c r="A38" s="116"/>
      <c r="B38" s="78"/>
      <c r="C38" s="78"/>
      <c r="D38" s="78"/>
      <c r="E38" s="78"/>
      <c r="F38" s="65">
        <f t="shared" si="5"/>
        <v>0</v>
      </c>
      <c r="G38" s="69">
        <f t="shared" si="6"/>
        <v>0</v>
      </c>
      <c r="H38" s="82" t="s">
        <v>43</v>
      </c>
      <c r="I38" s="82">
        <v>0</v>
      </c>
      <c r="J38" s="69">
        <f t="shared" si="7"/>
        <v>0</v>
      </c>
      <c r="K38" s="84"/>
      <c r="L38" s="70">
        <f t="shared" si="8"/>
        <v>0.9</v>
      </c>
      <c r="M38" s="71">
        <f t="shared" si="9"/>
        <v>0</v>
      </c>
    </row>
    <row r="39" spans="1:13" ht="14.25">
      <c r="A39" s="116"/>
      <c r="B39" s="78"/>
      <c r="C39" s="78"/>
      <c r="D39" s="78"/>
      <c r="E39" s="78"/>
      <c r="F39" s="65">
        <f t="shared" si="5"/>
        <v>0</v>
      </c>
      <c r="G39" s="69">
        <f t="shared" si="6"/>
        <v>0</v>
      </c>
      <c r="H39" s="82" t="s">
        <v>43</v>
      </c>
      <c r="I39" s="82">
        <v>0</v>
      </c>
      <c r="J39" s="69">
        <f t="shared" si="7"/>
        <v>0</v>
      </c>
      <c r="K39" s="84"/>
      <c r="L39" s="70">
        <f t="shared" si="8"/>
        <v>0.9</v>
      </c>
      <c r="M39" s="71">
        <f t="shared" si="9"/>
        <v>0</v>
      </c>
    </row>
    <row r="40" spans="1:13" ht="14.25">
      <c r="A40" s="116"/>
      <c r="B40" s="78"/>
      <c r="C40" s="78"/>
      <c r="D40" s="78"/>
      <c r="E40" s="78"/>
      <c r="F40" s="65">
        <f t="shared" si="5"/>
        <v>0</v>
      </c>
      <c r="G40" s="69">
        <f t="shared" si="6"/>
        <v>0</v>
      </c>
      <c r="H40" s="82" t="s">
        <v>43</v>
      </c>
      <c r="I40" s="82">
        <v>0</v>
      </c>
      <c r="J40" s="69">
        <f t="shared" si="7"/>
        <v>0</v>
      </c>
      <c r="K40" s="84"/>
      <c r="L40" s="70">
        <f t="shared" si="8"/>
        <v>0.9</v>
      </c>
      <c r="M40" s="71">
        <f t="shared" si="9"/>
        <v>0</v>
      </c>
    </row>
    <row r="41" spans="1:13" ht="14.25">
      <c r="A41" s="116"/>
      <c r="B41" s="78"/>
      <c r="C41" s="78"/>
      <c r="D41" s="78"/>
      <c r="E41" s="78"/>
      <c r="F41" s="65">
        <f t="shared" si="5"/>
        <v>0</v>
      </c>
      <c r="G41" s="69">
        <f t="shared" si="6"/>
        <v>0</v>
      </c>
      <c r="H41" s="82" t="s">
        <v>43</v>
      </c>
      <c r="I41" s="82">
        <v>0</v>
      </c>
      <c r="J41" s="69">
        <f t="shared" si="7"/>
        <v>0</v>
      </c>
      <c r="K41" s="84"/>
      <c r="L41" s="70">
        <f t="shared" si="8"/>
        <v>0.9</v>
      </c>
      <c r="M41" s="71">
        <f t="shared" si="9"/>
        <v>0</v>
      </c>
    </row>
    <row r="42" spans="1:13" ht="14.25">
      <c r="A42" s="116"/>
      <c r="B42" s="78"/>
      <c r="C42" s="78"/>
      <c r="D42" s="78"/>
      <c r="E42" s="78"/>
      <c r="F42" s="65">
        <f t="shared" si="5"/>
        <v>0</v>
      </c>
      <c r="G42" s="69">
        <f t="shared" si="6"/>
        <v>0</v>
      </c>
      <c r="H42" s="82" t="s">
        <v>43</v>
      </c>
      <c r="I42" s="82">
        <v>0</v>
      </c>
      <c r="J42" s="69">
        <f t="shared" si="7"/>
        <v>0</v>
      </c>
      <c r="K42" s="84"/>
      <c r="L42" s="70">
        <f t="shared" si="8"/>
        <v>0.9</v>
      </c>
      <c r="M42" s="71">
        <f t="shared" si="9"/>
        <v>0</v>
      </c>
    </row>
    <row r="43" spans="7:11" ht="15">
      <c r="G43" s="73"/>
      <c r="H43" s="73"/>
      <c r="I43" s="73"/>
      <c r="J43" s="73"/>
      <c r="K43" s="74"/>
    </row>
    <row r="44" spans="7:11" ht="15">
      <c r="G44" s="73"/>
      <c r="H44" s="73"/>
      <c r="I44" s="73"/>
      <c r="J44" s="73"/>
      <c r="K44" s="74"/>
    </row>
    <row r="45" spans="7:11" ht="15">
      <c r="G45" s="73"/>
      <c r="H45" s="73"/>
      <c r="I45" s="73"/>
      <c r="J45" s="73"/>
      <c r="K45" s="74"/>
    </row>
    <row r="46" spans="7:11" ht="15">
      <c r="G46" s="73"/>
      <c r="H46" s="73"/>
      <c r="I46" s="73"/>
      <c r="J46" s="73"/>
      <c r="K46" s="74"/>
    </row>
    <row r="47" spans="7:11" ht="15">
      <c r="G47" s="73"/>
      <c r="H47" s="73"/>
      <c r="I47" s="73"/>
      <c r="J47" s="73"/>
      <c r="K47" s="74"/>
    </row>
    <row r="48" spans="7:11" ht="15">
      <c r="G48" s="73"/>
      <c r="H48" s="73"/>
      <c r="I48" s="73"/>
      <c r="J48" s="73"/>
      <c r="K48" s="74"/>
    </row>
    <row r="49" spans="7:11" ht="15">
      <c r="G49" s="73"/>
      <c r="H49" s="73"/>
      <c r="I49" s="73"/>
      <c r="J49" s="73"/>
      <c r="K49" s="74"/>
    </row>
    <row r="50" spans="7:11" ht="15">
      <c r="G50" s="73"/>
      <c r="H50" s="73"/>
      <c r="I50" s="73"/>
      <c r="J50" s="73"/>
      <c r="K50" s="74"/>
    </row>
    <row r="51" spans="7:11" ht="15">
      <c r="G51" s="73"/>
      <c r="H51" s="73"/>
      <c r="I51" s="73"/>
      <c r="J51" s="73"/>
      <c r="K51" s="74"/>
    </row>
    <row r="52" spans="7:11" ht="15">
      <c r="G52" s="73"/>
      <c r="H52" s="73"/>
      <c r="I52" s="73"/>
      <c r="J52" s="73"/>
      <c r="K52" s="74"/>
    </row>
    <row r="53" spans="7:11" ht="15">
      <c r="G53" s="73"/>
      <c r="H53" s="73"/>
      <c r="I53" s="73"/>
      <c r="J53" s="73"/>
      <c r="K53" s="74"/>
    </row>
    <row r="54" spans="7:11" ht="15">
      <c r="G54" s="73"/>
      <c r="H54" s="73"/>
      <c r="I54" s="73"/>
      <c r="J54" s="73"/>
      <c r="K54" s="74"/>
    </row>
    <row r="55" spans="7:11" ht="15">
      <c r="G55" s="73"/>
      <c r="H55" s="73"/>
      <c r="I55" s="73"/>
      <c r="J55" s="73"/>
      <c r="K55" s="74"/>
    </row>
    <row r="56" spans="7:10" ht="15">
      <c r="G56" s="73"/>
      <c r="H56" s="73"/>
      <c r="I56" s="73"/>
      <c r="J56" s="73"/>
    </row>
    <row r="57" spans="7:10" ht="15">
      <c r="G57" s="73"/>
      <c r="H57" s="73"/>
      <c r="I57" s="73"/>
      <c r="J57" s="73"/>
    </row>
    <row r="58" spans="7:10" ht="15">
      <c r="G58" s="73"/>
      <c r="H58" s="73"/>
      <c r="I58" s="73"/>
      <c r="J58" s="73"/>
    </row>
    <row r="59" spans="7:10" ht="15">
      <c r="G59" s="73"/>
      <c r="H59" s="73"/>
      <c r="I59" s="73"/>
      <c r="J59" s="73"/>
    </row>
    <row r="60" spans="7:10" ht="15">
      <c r="G60" s="73"/>
      <c r="H60" s="73"/>
      <c r="I60" s="73"/>
      <c r="J60" s="73"/>
    </row>
    <row r="61" spans="7:10" ht="15">
      <c r="G61" s="73"/>
      <c r="H61" s="73"/>
      <c r="I61" s="73"/>
      <c r="J61" s="73"/>
    </row>
  </sheetData>
  <sheetProtection sheet="1" objects="1" scenarios="1" formatCells="0" formatColumns="0" formatRows="0" autoFilter="0"/>
  <autoFilter ref="A3:M42"/>
  <mergeCells count="1">
    <mergeCell ref="A1:P1"/>
  </mergeCells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5"/>
  <sheetViews>
    <sheetView showGridLines="0" zoomScale="80" zoomScaleNormal="80" zoomScalePageLayoutView="0" workbookViewId="0" topLeftCell="A1">
      <pane xSplit="18" ySplit="4" topLeftCell="S5" activePane="bottomRight" state="frozen"/>
      <selection pane="topLeft" activeCell="A25" sqref="A25:N25"/>
      <selection pane="topRight" activeCell="A25" sqref="A25:N25"/>
      <selection pane="bottomLeft" activeCell="A25" sqref="A25:N25"/>
      <selection pane="bottomRight" activeCell="J5" sqref="J5"/>
    </sheetView>
  </sheetViews>
  <sheetFormatPr defaultColWidth="11.421875" defaultRowHeight="15"/>
  <cols>
    <col min="1" max="1" width="24.28125" style="118" customWidth="1"/>
    <col min="2" max="4" width="14.00390625" style="0" customWidth="1"/>
    <col min="5" max="5" width="14.00390625" style="7" customWidth="1"/>
    <col min="6" max="7" width="13.7109375" style="7" customWidth="1"/>
    <col min="8" max="8" width="2.140625" style="7" customWidth="1"/>
    <col min="9" max="10" width="13.8515625" style="7" customWidth="1"/>
    <col min="11" max="11" width="1.7109375" style="0" customWidth="1"/>
    <col min="12" max="12" width="13.28125" style="0" customWidth="1"/>
    <col min="13" max="13" width="16.140625" style="0" customWidth="1"/>
    <col min="14" max="14" width="15.8515625" style="8" customWidth="1"/>
    <col min="15" max="15" width="3.421875" style="8" customWidth="1"/>
    <col min="16" max="17" width="17.8515625" style="8" customWidth="1"/>
    <col min="18" max="18" width="10.57421875" style="8" customWidth="1"/>
    <col min="19" max="19" width="2.28125" style="8" customWidth="1"/>
    <col min="20" max="16384" width="11.421875" style="8" customWidth="1"/>
  </cols>
  <sheetData>
    <row r="1" spans="1:18" ht="25.5" customHeight="1">
      <c r="A1" s="211" t="s">
        <v>180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</row>
    <row r="2" ht="15">
      <c r="A2"/>
    </row>
    <row r="3" spans="1:14" ht="22.5" customHeight="1">
      <c r="A3" s="105"/>
      <c r="B3" s="212" t="s">
        <v>3</v>
      </c>
      <c r="C3" s="212"/>
      <c r="D3" s="212"/>
      <c r="E3" s="212"/>
      <c r="F3" s="212"/>
      <c r="G3" s="212"/>
      <c r="H3" s="212"/>
      <c r="I3" s="212"/>
      <c r="J3" s="212"/>
      <c r="K3" s="106"/>
      <c r="L3" s="210" t="s">
        <v>2</v>
      </c>
      <c r="M3" s="210"/>
      <c r="N3" s="210"/>
    </row>
    <row r="4" spans="1:17" s="85" customFormat="1" ht="44.25" customHeight="1">
      <c r="A4" s="111" t="s">
        <v>137</v>
      </c>
      <c r="B4" s="107" t="s">
        <v>44</v>
      </c>
      <c r="C4" s="107" t="s">
        <v>45</v>
      </c>
      <c r="D4" s="107" t="s">
        <v>46</v>
      </c>
      <c r="E4" s="107" t="s">
        <v>47</v>
      </c>
      <c r="F4" s="107" t="s">
        <v>48</v>
      </c>
      <c r="G4" s="107" t="s">
        <v>49</v>
      </c>
      <c r="H4" s="108"/>
      <c r="I4" s="107" t="s">
        <v>50</v>
      </c>
      <c r="J4" s="107" t="s">
        <v>54</v>
      </c>
      <c r="K4" s="108"/>
      <c r="L4" s="109" t="s">
        <v>139</v>
      </c>
      <c r="M4" s="110" t="s">
        <v>138</v>
      </c>
      <c r="N4" s="110" t="s">
        <v>55</v>
      </c>
      <c r="P4" s="1" t="s">
        <v>41</v>
      </c>
      <c r="Q4" s="2">
        <f>SUM(N5:N31)</f>
        <v>1327.5499999999993</v>
      </c>
    </row>
    <row r="5" spans="1:14" ht="14.25">
      <c r="A5" s="112" t="s">
        <v>4</v>
      </c>
      <c r="B5" s="87">
        <v>200</v>
      </c>
      <c r="C5" s="88">
        <v>5700</v>
      </c>
      <c r="D5" s="87">
        <v>300</v>
      </c>
      <c r="E5" s="88">
        <v>9000</v>
      </c>
      <c r="F5" s="89">
        <f>B5+D5</f>
        <v>500</v>
      </c>
      <c r="G5" s="90">
        <f>C5+E5</f>
        <v>14700</v>
      </c>
      <c r="H5" s="91"/>
      <c r="I5" s="92">
        <f>IF(F5=0," ",D5/F5)</f>
        <v>0.6</v>
      </c>
      <c r="J5" s="93">
        <f>IF(D5=0," ",E5/D5)</f>
        <v>30</v>
      </c>
      <c r="K5" s="94"/>
      <c r="L5" s="95">
        <v>0.73</v>
      </c>
      <c r="M5" s="96">
        <v>33.37</v>
      </c>
      <c r="N5" s="97">
        <f>IF(B5&gt;0,IF((((1-L5)*F5*C5/B5)+(L5*F5*M5))-G5&gt;0,(((1-L5)*F5*C5/B5)+(L5*F5*M5))-G5," "),0)</f>
        <v>1327.5499999999993</v>
      </c>
    </row>
    <row r="6" spans="1:14" ht="14.25">
      <c r="A6" s="113" t="s">
        <v>51</v>
      </c>
      <c r="B6" s="98"/>
      <c r="C6" s="99"/>
      <c r="D6" s="98"/>
      <c r="E6" s="99"/>
      <c r="F6" s="89">
        <f aca="true" t="shared" si="0" ref="F6:F20">B6+D6</f>
        <v>0</v>
      </c>
      <c r="G6" s="90">
        <f aca="true" t="shared" si="1" ref="G6:G20">C6+E6</f>
        <v>0</v>
      </c>
      <c r="H6" s="94"/>
      <c r="I6" s="92" t="str">
        <f aca="true" t="shared" si="2" ref="I6:I31">IF(F6=0," ",D6/F6)</f>
        <v> </v>
      </c>
      <c r="J6" s="93" t="str">
        <f aca="true" t="shared" si="3" ref="J6:J31">IF(D6=0," ",E6/D6)</f>
        <v> </v>
      </c>
      <c r="K6" s="94"/>
      <c r="L6" s="95">
        <v>0.84</v>
      </c>
      <c r="M6" s="96">
        <v>76.48</v>
      </c>
      <c r="N6" s="97">
        <f aca="true" t="shared" si="4" ref="N6:N31">IF(B6&gt;0,IF((((1-L6)*F6*C6/B6)+(L6*F6*M6))-G6&gt;0,(((1-L6)*F6*C6/B6)+(L6*F6*M6))-G6," "),0)</f>
        <v>0</v>
      </c>
    </row>
    <row r="7" spans="1:14" ht="14.25">
      <c r="A7" s="113" t="s">
        <v>52</v>
      </c>
      <c r="B7" s="98"/>
      <c r="C7" s="99"/>
      <c r="D7" s="98"/>
      <c r="E7" s="99"/>
      <c r="F7" s="89">
        <f t="shared" si="0"/>
        <v>0</v>
      </c>
      <c r="G7" s="90">
        <f t="shared" si="1"/>
        <v>0</v>
      </c>
      <c r="H7" s="100"/>
      <c r="I7" s="92" t="str">
        <f t="shared" si="2"/>
        <v> </v>
      </c>
      <c r="J7" s="93" t="str">
        <f t="shared" si="3"/>
        <v> </v>
      </c>
      <c r="K7" s="94"/>
      <c r="L7" s="101">
        <v>0.73</v>
      </c>
      <c r="M7" s="102">
        <v>52.27</v>
      </c>
      <c r="N7" s="97">
        <f t="shared" si="4"/>
        <v>0</v>
      </c>
    </row>
    <row r="8" spans="1:14" ht="14.25">
      <c r="A8" s="113" t="s">
        <v>107</v>
      </c>
      <c r="B8" s="98"/>
      <c r="C8" s="99"/>
      <c r="D8" s="98"/>
      <c r="E8" s="99"/>
      <c r="F8" s="89">
        <f t="shared" si="0"/>
        <v>0</v>
      </c>
      <c r="G8" s="90">
        <f t="shared" si="1"/>
        <v>0</v>
      </c>
      <c r="H8" s="100"/>
      <c r="I8" s="92" t="str">
        <f t="shared" si="2"/>
        <v> </v>
      </c>
      <c r="J8" s="93" t="str">
        <f t="shared" si="3"/>
        <v> </v>
      </c>
      <c r="K8" s="94"/>
      <c r="L8" s="95">
        <v>0</v>
      </c>
      <c r="M8" s="96">
        <v>0</v>
      </c>
      <c r="N8" s="97">
        <f t="shared" si="4"/>
        <v>0</v>
      </c>
    </row>
    <row r="9" spans="1:14" ht="14.25">
      <c r="A9" s="113" t="s">
        <v>5</v>
      </c>
      <c r="B9" s="98"/>
      <c r="C9" s="99"/>
      <c r="D9" s="98"/>
      <c r="E9" s="99"/>
      <c r="F9" s="89">
        <f t="shared" si="0"/>
        <v>0</v>
      </c>
      <c r="G9" s="90">
        <f t="shared" si="1"/>
        <v>0</v>
      </c>
      <c r="H9" s="94"/>
      <c r="I9" s="92" t="str">
        <f t="shared" si="2"/>
        <v> </v>
      </c>
      <c r="J9" s="93" t="str">
        <f t="shared" si="3"/>
        <v> </v>
      </c>
      <c r="K9" s="94"/>
      <c r="L9" s="95">
        <v>0.44</v>
      </c>
      <c r="M9" s="96">
        <v>48.6</v>
      </c>
      <c r="N9" s="97">
        <f t="shared" si="4"/>
        <v>0</v>
      </c>
    </row>
    <row r="10" spans="1:14" ht="14.25">
      <c r="A10" s="113" t="s">
        <v>10</v>
      </c>
      <c r="B10" s="98"/>
      <c r="C10" s="99"/>
      <c r="D10" s="98"/>
      <c r="E10" s="99"/>
      <c r="F10" s="89">
        <f t="shared" si="0"/>
        <v>0</v>
      </c>
      <c r="G10" s="90">
        <f t="shared" si="1"/>
        <v>0</v>
      </c>
      <c r="H10" s="100"/>
      <c r="I10" s="92" t="str">
        <f t="shared" si="2"/>
        <v> </v>
      </c>
      <c r="J10" s="93" t="str">
        <f t="shared" si="3"/>
        <v> </v>
      </c>
      <c r="K10" s="94"/>
      <c r="L10" s="101">
        <v>0</v>
      </c>
      <c r="M10" s="102">
        <v>0</v>
      </c>
      <c r="N10" s="97">
        <f t="shared" si="4"/>
        <v>0</v>
      </c>
    </row>
    <row r="11" spans="1:14" ht="14.25">
      <c r="A11" s="113" t="s">
        <v>11</v>
      </c>
      <c r="B11" s="98"/>
      <c r="C11" s="99"/>
      <c r="D11" s="98"/>
      <c r="E11" s="99"/>
      <c r="F11" s="89">
        <f t="shared" si="0"/>
        <v>0</v>
      </c>
      <c r="G11" s="90">
        <f t="shared" si="1"/>
        <v>0</v>
      </c>
      <c r="H11" s="94"/>
      <c r="I11" s="92" t="str">
        <f t="shared" si="2"/>
        <v> </v>
      </c>
      <c r="J11" s="93" t="str">
        <f t="shared" si="3"/>
        <v> </v>
      </c>
      <c r="K11" s="94"/>
      <c r="L11" s="95">
        <v>0.27</v>
      </c>
      <c r="M11" s="96">
        <v>28</v>
      </c>
      <c r="N11" s="97">
        <f t="shared" si="4"/>
        <v>0</v>
      </c>
    </row>
    <row r="12" spans="1:14" ht="14.25">
      <c r="A12" s="113" t="s">
        <v>6</v>
      </c>
      <c r="B12" s="98"/>
      <c r="C12" s="99"/>
      <c r="D12" s="98"/>
      <c r="E12" s="99"/>
      <c r="F12" s="89">
        <f t="shared" si="0"/>
        <v>0</v>
      </c>
      <c r="G12" s="90">
        <f t="shared" si="1"/>
        <v>0</v>
      </c>
      <c r="H12" s="94"/>
      <c r="I12" s="92" t="str">
        <f t="shared" si="2"/>
        <v> </v>
      </c>
      <c r="J12" s="93" t="str">
        <f t="shared" si="3"/>
        <v> </v>
      </c>
      <c r="K12" s="94"/>
      <c r="L12" s="95">
        <v>0.37</v>
      </c>
      <c r="M12" s="96">
        <v>42.82</v>
      </c>
      <c r="N12" s="97">
        <f t="shared" si="4"/>
        <v>0</v>
      </c>
    </row>
    <row r="13" spans="1:14" ht="14.25">
      <c r="A13" s="113" t="s">
        <v>108</v>
      </c>
      <c r="B13" s="98"/>
      <c r="C13" s="99"/>
      <c r="D13" s="98"/>
      <c r="E13" s="99"/>
      <c r="F13" s="89">
        <f t="shared" si="0"/>
        <v>0</v>
      </c>
      <c r="G13" s="90">
        <f t="shared" si="1"/>
        <v>0</v>
      </c>
      <c r="H13" s="94"/>
      <c r="I13" s="92" t="str">
        <f t="shared" si="2"/>
        <v> </v>
      </c>
      <c r="J13" s="93" t="str">
        <f t="shared" si="3"/>
        <v> </v>
      </c>
      <c r="K13" s="94"/>
      <c r="L13" s="95">
        <v>0</v>
      </c>
      <c r="M13" s="102">
        <v>0</v>
      </c>
      <c r="N13" s="97">
        <f t="shared" si="4"/>
        <v>0</v>
      </c>
    </row>
    <row r="14" spans="1:14" ht="14.25">
      <c r="A14" s="113" t="s">
        <v>109</v>
      </c>
      <c r="B14" s="98"/>
      <c r="C14" s="99"/>
      <c r="D14" s="98"/>
      <c r="E14" s="99"/>
      <c r="F14" s="89">
        <f t="shared" si="0"/>
        <v>0</v>
      </c>
      <c r="G14" s="90">
        <f t="shared" si="1"/>
        <v>0</v>
      </c>
      <c r="H14" s="94"/>
      <c r="I14" s="92" t="str">
        <f t="shared" si="2"/>
        <v> </v>
      </c>
      <c r="J14" s="93" t="str">
        <f t="shared" si="3"/>
        <v> </v>
      </c>
      <c r="K14" s="94"/>
      <c r="L14" s="95">
        <v>0</v>
      </c>
      <c r="M14" s="102">
        <v>0</v>
      </c>
      <c r="N14" s="97">
        <f t="shared" si="4"/>
        <v>0</v>
      </c>
    </row>
    <row r="15" spans="1:14" ht="14.25">
      <c r="A15" s="113" t="s">
        <v>110</v>
      </c>
      <c r="B15" s="98"/>
      <c r="C15" s="99"/>
      <c r="D15" s="98"/>
      <c r="E15" s="99"/>
      <c r="F15" s="89">
        <f t="shared" si="0"/>
        <v>0</v>
      </c>
      <c r="G15" s="90">
        <f t="shared" si="1"/>
        <v>0</v>
      </c>
      <c r="H15" s="94"/>
      <c r="I15" s="92" t="str">
        <f t="shared" si="2"/>
        <v> </v>
      </c>
      <c r="J15" s="93" t="str">
        <f t="shared" si="3"/>
        <v> </v>
      </c>
      <c r="K15" s="94"/>
      <c r="L15" s="95">
        <v>0</v>
      </c>
      <c r="M15" s="102">
        <v>0</v>
      </c>
      <c r="N15" s="97">
        <f t="shared" si="4"/>
        <v>0</v>
      </c>
    </row>
    <row r="16" spans="1:14" ht="14.25">
      <c r="A16" s="113" t="s">
        <v>12</v>
      </c>
      <c r="B16" s="98"/>
      <c r="C16" s="99"/>
      <c r="D16" s="98"/>
      <c r="E16" s="99"/>
      <c r="F16" s="89">
        <f t="shared" si="0"/>
        <v>0</v>
      </c>
      <c r="G16" s="90">
        <f t="shared" si="1"/>
        <v>0</v>
      </c>
      <c r="H16" s="94"/>
      <c r="I16" s="92" t="str">
        <f t="shared" si="2"/>
        <v> </v>
      </c>
      <c r="J16" s="93" t="str">
        <f t="shared" si="3"/>
        <v> </v>
      </c>
      <c r="K16" s="94"/>
      <c r="L16" s="95">
        <v>0.08</v>
      </c>
      <c r="M16" s="96">
        <v>28</v>
      </c>
      <c r="N16" s="97">
        <f t="shared" si="4"/>
        <v>0</v>
      </c>
    </row>
    <row r="17" spans="1:14" ht="14.25">
      <c r="A17" s="113" t="s">
        <v>35</v>
      </c>
      <c r="B17" s="98"/>
      <c r="C17" s="99"/>
      <c r="D17" s="98"/>
      <c r="E17" s="99"/>
      <c r="F17" s="89">
        <f t="shared" si="0"/>
        <v>0</v>
      </c>
      <c r="G17" s="90">
        <f t="shared" si="1"/>
        <v>0</v>
      </c>
      <c r="H17" s="9"/>
      <c r="I17" s="92" t="str">
        <f t="shared" si="2"/>
        <v> </v>
      </c>
      <c r="J17" s="93" t="str">
        <f t="shared" si="3"/>
        <v> </v>
      </c>
      <c r="K17" s="9"/>
      <c r="L17" s="95">
        <v>0</v>
      </c>
      <c r="M17" s="102">
        <v>0</v>
      </c>
      <c r="N17" s="97">
        <f t="shared" si="4"/>
        <v>0</v>
      </c>
    </row>
    <row r="18" spans="1:14" ht="14.25">
      <c r="A18" s="113" t="s">
        <v>13</v>
      </c>
      <c r="B18" s="98"/>
      <c r="C18" s="99"/>
      <c r="D18" s="98"/>
      <c r="E18" s="99"/>
      <c r="F18" s="89">
        <f t="shared" si="0"/>
        <v>0</v>
      </c>
      <c r="G18" s="90">
        <f t="shared" si="1"/>
        <v>0</v>
      </c>
      <c r="H18" s="94"/>
      <c r="I18" s="92" t="str">
        <f t="shared" si="2"/>
        <v> </v>
      </c>
      <c r="J18" s="93" t="str">
        <f t="shared" si="3"/>
        <v> </v>
      </c>
      <c r="K18" s="94"/>
      <c r="L18" s="95">
        <v>0</v>
      </c>
      <c r="M18" s="96">
        <v>0</v>
      </c>
      <c r="N18" s="97">
        <f t="shared" si="4"/>
        <v>0</v>
      </c>
    </row>
    <row r="19" spans="1:14" ht="14.25">
      <c r="A19" s="113" t="s">
        <v>14</v>
      </c>
      <c r="B19" s="98"/>
      <c r="C19" s="99"/>
      <c r="D19" s="98"/>
      <c r="E19" s="99"/>
      <c r="F19" s="89">
        <f t="shared" si="0"/>
        <v>0</v>
      </c>
      <c r="G19" s="90">
        <f t="shared" si="1"/>
        <v>0</v>
      </c>
      <c r="H19" s="94"/>
      <c r="I19" s="92" t="str">
        <f t="shared" si="2"/>
        <v> </v>
      </c>
      <c r="J19" s="93" t="str">
        <f t="shared" si="3"/>
        <v> </v>
      </c>
      <c r="K19" s="94"/>
      <c r="L19" s="95">
        <v>0.91</v>
      </c>
      <c r="M19" s="96">
        <v>28</v>
      </c>
      <c r="N19" s="97">
        <f t="shared" si="4"/>
        <v>0</v>
      </c>
    </row>
    <row r="20" spans="1:14" ht="14.25">
      <c r="A20" s="113" t="s">
        <v>7</v>
      </c>
      <c r="B20" s="98"/>
      <c r="C20" s="99"/>
      <c r="D20" s="98"/>
      <c r="E20" s="99"/>
      <c r="F20" s="89">
        <f t="shared" si="0"/>
        <v>0</v>
      </c>
      <c r="G20" s="90">
        <f t="shared" si="1"/>
        <v>0</v>
      </c>
      <c r="H20" s="94"/>
      <c r="I20" s="92" t="str">
        <f t="shared" si="2"/>
        <v> </v>
      </c>
      <c r="J20" s="93" t="str">
        <f t="shared" si="3"/>
        <v> </v>
      </c>
      <c r="K20" s="94"/>
      <c r="L20" s="95">
        <v>0.73</v>
      </c>
      <c r="M20" s="96">
        <v>47.78</v>
      </c>
      <c r="N20" s="97">
        <f t="shared" si="4"/>
        <v>0</v>
      </c>
    </row>
    <row r="21" spans="1:14" ht="14.25">
      <c r="A21" s="113" t="s">
        <v>111</v>
      </c>
      <c r="B21" s="98"/>
      <c r="C21" s="99"/>
      <c r="D21" s="98"/>
      <c r="E21" s="99"/>
      <c r="F21" s="89">
        <f aca="true" t="shared" si="5" ref="F21:F31">B21+D21</f>
        <v>0</v>
      </c>
      <c r="G21" s="90">
        <f aca="true" t="shared" si="6" ref="G21:G31">C21+E21</f>
        <v>0</v>
      </c>
      <c r="H21" s="9"/>
      <c r="I21" s="92" t="str">
        <f t="shared" si="2"/>
        <v> </v>
      </c>
      <c r="J21" s="93" t="str">
        <f t="shared" si="3"/>
        <v> </v>
      </c>
      <c r="K21" s="9"/>
      <c r="L21" s="95">
        <v>0</v>
      </c>
      <c r="M21" s="96">
        <v>0</v>
      </c>
      <c r="N21" s="97">
        <f t="shared" si="4"/>
        <v>0</v>
      </c>
    </row>
    <row r="22" spans="1:14" ht="14.25">
      <c r="A22" s="113" t="s">
        <v>112</v>
      </c>
      <c r="B22" s="98"/>
      <c r="C22" s="99"/>
      <c r="D22" s="98"/>
      <c r="E22" s="99"/>
      <c r="F22" s="89">
        <f t="shared" si="5"/>
        <v>0</v>
      </c>
      <c r="G22" s="90">
        <f t="shared" si="6"/>
        <v>0</v>
      </c>
      <c r="H22" s="9"/>
      <c r="I22" s="92" t="str">
        <f t="shared" si="2"/>
        <v> </v>
      </c>
      <c r="J22" s="93" t="str">
        <f t="shared" si="3"/>
        <v> </v>
      </c>
      <c r="K22" s="9"/>
      <c r="L22" s="95">
        <v>0</v>
      </c>
      <c r="M22" s="96">
        <v>0</v>
      </c>
      <c r="N22" s="97">
        <f t="shared" si="4"/>
        <v>0</v>
      </c>
    </row>
    <row r="23" spans="1:14" ht="14.25">
      <c r="A23" s="113" t="s">
        <v>15</v>
      </c>
      <c r="B23" s="98"/>
      <c r="C23" s="99"/>
      <c r="D23" s="98"/>
      <c r="E23" s="99"/>
      <c r="F23" s="89">
        <f t="shared" si="5"/>
        <v>0</v>
      </c>
      <c r="G23" s="90">
        <f t="shared" si="6"/>
        <v>0</v>
      </c>
      <c r="H23" s="94"/>
      <c r="I23" s="92" t="str">
        <f t="shared" si="2"/>
        <v> </v>
      </c>
      <c r="J23" s="93" t="str">
        <f t="shared" si="3"/>
        <v> </v>
      </c>
      <c r="K23" s="94"/>
      <c r="L23" s="95">
        <v>0</v>
      </c>
      <c r="M23" s="96">
        <v>0</v>
      </c>
      <c r="N23" s="97">
        <f t="shared" si="4"/>
        <v>0</v>
      </c>
    </row>
    <row r="24" spans="1:14" ht="14.25">
      <c r="A24" s="113" t="s">
        <v>53</v>
      </c>
      <c r="B24" s="98"/>
      <c r="C24" s="99"/>
      <c r="D24" s="98"/>
      <c r="E24" s="99"/>
      <c r="F24" s="89">
        <f t="shared" si="5"/>
        <v>0</v>
      </c>
      <c r="G24" s="90">
        <f t="shared" si="6"/>
        <v>0</v>
      </c>
      <c r="H24" s="94"/>
      <c r="I24" s="92" t="str">
        <f t="shared" si="2"/>
        <v> </v>
      </c>
      <c r="J24" s="93" t="str">
        <f t="shared" si="3"/>
        <v> </v>
      </c>
      <c r="K24" s="94"/>
      <c r="L24" s="95">
        <v>0.47</v>
      </c>
      <c r="M24" s="96">
        <v>61.52</v>
      </c>
      <c r="N24" s="97">
        <f t="shared" si="4"/>
        <v>0</v>
      </c>
    </row>
    <row r="25" spans="1:14" ht="14.25">
      <c r="A25" s="113" t="s">
        <v>113</v>
      </c>
      <c r="B25" s="98"/>
      <c r="C25" s="99"/>
      <c r="D25" s="98"/>
      <c r="E25" s="99"/>
      <c r="F25" s="89">
        <f t="shared" si="5"/>
        <v>0</v>
      </c>
      <c r="G25" s="90">
        <f t="shared" si="6"/>
        <v>0</v>
      </c>
      <c r="H25" s="9"/>
      <c r="I25" s="92" t="str">
        <f t="shared" si="2"/>
        <v> </v>
      </c>
      <c r="J25" s="93" t="str">
        <f t="shared" si="3"/>
        <v> </v>
      </c>
      <c r="K25" s="9"/>
      <c r="L25" s="95">
        <v>0</v>
      </c>
      <c r="M25" s="96">
        <v>0</v>
      </c>
      <c r="N25" s="97">
        <f t="shared" si="4"/>
        <v>0</v>
      </c>
    </row>
    <row r="26" spans="1:14" ht="14.25">
      <c r="A26" s="113" t="s">
        <v>114</v>
      </c>
      <c r="B26" s="98"/>
      <c r="C26" s="99"/>
      <c r="D26" s="98"/>
      <c r="E26" s="99"/>
      <c r="F26" s="89">
        <f t="shared" si="5"/>
        <v>0</v>
      </c>
      <c r="G26" s="90">
        <f t="shared" si="6"/>
        <v>0</v>
      </c>
      <c r="H26" s="9"/>
      <c r="I26" s="92" t="str">
        <f t="shared" si="2"/>
        <v> </v>
      </c>
      <c r="J26" s="93" t="str">
        <f t="shared" si="3"/>
        <v> </v>
      </c>
      <c r="K26" s="9"/>
      <c r="L26" s="95">
        <v>0</v>
      </c>
      <c r="M26" s="96">
        <v>0</v>
      </c>
      <c r="N26" s="97">
        <f t="shared" si="4"/>
        <v>0</v>
      </c>
    </row>
    <row r="27" spans="1:14" ht="14.25">
      <c r="A27" s="113" t="s">
        <v>16</v>
      </c>
      <c r="B27" s="98"/>
      <c r="C27" s="99"/>
      <c r="D27" s="98"/>
      <c r="E27" s="99"/>
      <c r="F27" s="89">
        <f t="shared" si="5"/>
        <v>0</v>
      </c>
      <c r="G27" s="90">
        <f t="shared" si="6"/>
        <v>0</v>
      </c>
      <c r="H27" s="94"/>
      <c r="I27" s="92" t="str">
        <f t="shared" si="2"/>
        <v> </v>
      </c>
      <c r="J27" s="93" t="str">
        <f t="shared" si="3"/>
        <v> </v>
      </c>
      <c r="K27" s="94"/>
      <c r="L27" s="95">
        <v>0</v>
      </c>
      <c r="M27" s="96">
        <v>0</v>
      </c>
      <c r="N27" s="97">
        <f t="shared" si="4"/>
        <v>0</v>
      </c>
    </row>
    <row r="28" spans="1:14" ht="14.25">
      <c r="A28" s="113" t="s">
        <v>8</v>
      </c>
      <c r="B28" s="98"/>
      <c r="C28" s="99"/>
      <c r="D28" s="98"/>
      <c r="E28" s="99"/>
      <c r="F28" s="89">
        <f t="shared" si="5"/>
        <v>0</v>
      </c>
      <c r="G28" s="90">
        <f t="shared" si="6"/>
        <v>0</v>
      </c>
      <c r="H28" s="94"/>
      <c r="I28" s="92" t="str">
        <f t="shared" si="2"/>
        <v> </v>
      </c>
      <c r="J28" s="93" t="str">
        <f t="shared" si="3"/>
        <v> </v>
      </c>
      <c r="K28" s="94"/>
      <c r="L28" s="95">
        <v>0.58</v>
      </c>
      <c r="M28" s="96">
        <v>34.15</v>
      </c>
      <c r="N28" s="97">
        <f t="shared" si="4"/>
        <v>0</v>
      </c>
    </row>
    <row r="29" spans="1:14" ht="14.25">
      <c r="A29" s="113" t="s">
        <v>115</v>
      </c>
      <c r="B29" s="98"/>
      <c r="C29" s="99"/>
      <c r="D29" s="98"/>
      <c r="E29" s="99"/>
      <c r="F29" s="89">
        <f t="shared" si="5"/>
        <v>0</v>
      </c>
      <c r="G29" s="90">
        <f t="shared" si="6"/>
        <v>0</v>
      </c>
      <c r="H29" s="9"/>
      <c r="I29" s="92" t="str">
        <f t="shared" si="2"/>
        <v> </v>
      </c>
      <c r="J29" s="93" t="str">
        <f t="shared" si="3"/>
        <v> </v>
      </c>
      <c r="K29" s="9"/>
      <c r="L29" s="95">
        <v>0</v>
      </c>
      <c r="M29" s="96">
        <v>0</v>
      </c>
      <c r="N29" s="97">
        <f t="shared" si="4"/>
        <v>0</v>
      </c>
    </row>
    <row r="30" spans="1:14" ht="14.25">
      <c r="A30" s="114" t="s">
        <v>116</v>
      </c>
      <c r="B30" s="98"/>
      <c r="C30" s="99"/>
      <c r="D30" s="98"/>
      <c r="E30" s="99"/>
      <c r="F30" s="89">
        <f t="shared" si="5"/>
        <v>0</v>
      </c>
      <c r="G30" s="90">
        <f t="shared" si="6"/>
        <v>0</v>
      </c>
      <c r="H30" s="9"/>
      <c r="I30" s="92" t="str">
        <f t="shared" si="2"/>
        <v> </v>
      </c>
      <c r="J30" s="93" t="str">
        <f t="shared" si="3"/>
        <v> </v>
      </c>
      <c r="K30" s="9"/>
      <c r="L30" s="95">
        <v>0</v>
      </c>
      <c r="M30" s="96">
        <v>0</v>
      </c>
      <c r="N30" s="97">
        <f t="shared" si="4"/>
        <v>0</v>
      </c>
    </row>
    <row r="31" spans="1:14" ht="14.25">
      <c r="A31" s="114" t="s">
        <v>9</v>
      </c>
      <c r="B31" s="98"/>
      <c r="C31" s="99"/>
      <c r="D31" s="98"/>
      <c r="E31" s="99"/>
      <c r="F31" s="89">
        <f t="shared" si="5"/>
        <v>0</v>
      </c>
      <c r="G31" s="90">
        <f t="shared" si="6"/>
        <v>0</v>
      </c>
      <c r="H31" s="94"/>
      <c r="I31" s="92" t="str">
        <f t="shared" si="2"/>
        <v> </v>
      </c>
      <c r="J31" s="93" t="str">
        <f t="shared" si="3"/>
        <v> </v>
      </c>
      <c r="K31" s="94"/>
      <c r="L31" s="95">
        <v>0</v>
      </c>
      <c r="M31" s="96">
        <v>0</v>
      </c>
      <c r="N31" s="97">
        <f t="shared" si="4"/>
        <v>0</v>
      </c>
    </row>
    <row r="32" ht="14.25">
      <c r="A32" s="11"/>
    </row>
    <row r="33" ht="14.25">
      <c r="A33" s="11"/>
    </row>
    <row r="34" ht="14.25">
      <c r="A34" s="11"/>
    </row>
    <row r="35" ht="14.25">
      <c r="A35" s="11"/>
    </row>
  </sheetData>
  <sheetProtection sheet="1" objects="1" scenarios="1" formatCells="0" formatColumns="0" formatRows="0" autoFilter="0"/>
  <autoFilter ref="A4:N31"/>
  <mergeCells count="3">
    <mergeCell ref="L3:N3"/>
    <mergeCell ref="A1:R1"/>
    <mergeCell ref="B3:J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53"/>
  <sheetViews>
    <sheetView showGridLines="0" zoomScale="80" zoomScaleNormal="80" zoomScalePageLayoutView="0" workbookViewId="0" topLeftCell="A1">
      <pane xSplit="22" ySplit="15" topLeftCell="W16" activePane="bottomRight" state="frozen"/>
      <selection pane="topLeft" activeCell="A25" sqref="A25:N25"/>
      <selection pane="topRight" activeCell="A25" sqref="A25:N25"/>
      <selection pane="bottomLeft" activeCell="A25" sqref="A25:N25"/>
      <selection pane="bottomRight" activeCell="V16" sqref="V16"/>
    </sheetView>
  </sheetViews>
  <sheetFormatPr defaultColWidth="11.421875" defaultRowHeight="15"/>
  <cols>
    <col min="1" max="1" width="40.00390625" style="19" customWidth="1"/>
    <col min="2" max="2" width="10.421875" style="0" customWidth="1"/>
    <col min="3" max="18" width="8.00390625" style="0" customWidth="1"/>
    <col min="19" max="19" width="13.421875" style="0" customWidth="1"/>
    <col min="20" max="20" width="3.421875" style="36" customWidth="1"/>
    <col min="21" max="22" width="18.57421875" style="0" customWidth="1"/>
    <col min="23" max="23" width="8.421875" style="0" customWidth="1"/>
  </cols>
  <sheetData>
    <row r="1" spans="1:23" ht="26.25" customHeight="1">
      <c r="A1" s="211" t="s">
        <v>172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1"/>
    </row>
    <row r="2" ht="15">
      <c r="A2"/>
    </row>
    <row r="3" spans="1:12" ht="15" customHeight="1">
      <c r="A3"/>
      <c r="F3" s="230" t="s">
        <v>41</v>
      </c>
      <c r="G3" s="230"/>
      <c r="H3" s="230"/>
      <c r="I3" s="230"/>
      <c r="J3" s="237">
        <f>J10-J8</f>
        <v>481545.27272727294</v>
      </c>
      <c r="K3" s="238"/>
      <c r="L3" s="239"/>
    </row>
    <row r="4" spans="1:12" ht="15" customHeight="1">
      <c r="A4"/>
      <c r="F4" s="231" t="s">
        <v>60</v>
      </c>
      <c r="G4" s="231"/>
      <c r="H4" s="231"/>
      <c r="I4" s="231"/>
      <c r="J4" s="227">
        <f>B11*S12</f>
        <v>440</v>
      </c>
      <c r="K4" s="228"/>
      <c r="L4" s="229"/>
    </row>
    <row r="5" spans="1:12" ht="15" customHeight="1">
      <c r="A5"/>
      <c r="F5" s="231" t="s">
        <v>61</v>
      </c>
      <c r="G5" s="231"/>
      <c r="H5" s="231"/>
      <c r="I5" s="231"/>
      <c r="J5" s="227">
        <f>S15</f>
        <v>462</v>
      </c>
      <c r="K5" s="228"/>
      <c r="L5" s="229"/>
    </row>
    <row r="6" spans="1:12" ht="15" customHeight="1">
      <c r="A6"/>
      <c r="F6" s="231" t="s">
        <v>62</v>
      </c>
      <c r="G6" s="231"/>
      <c r="H6" s="231"/>
      <c r="I6" s="231"/>
      <c r="J6" s="221">
        <f>S14</f>
        <v>0.55</v>
      </c>
      <c r="K6" s="222"/>
      <c r="L6" s="223"/>
    </row>
    <row r="7" spans="1:12" ht="15" customHeight="1">
      <c r="A7"/>
      <c r="F7" s="232" t="s">
        <v>63</v>
      </c>
      <c r="G7" s="233"/>
      <c r="H7" s="233"/>
      <c r="I7" s="234"/>
      <c r="J7" s="218">
        <f>((J4*0.9)-S13)/35</f>
        <v>4.4</v>
      </c>
      <c r="K7" s="219"/>
      <c r="L7" s="220"/>
    </row>
    <row r="8" spans="1:12" ht="15" customHeight="1">
      <c r="A8"/>
      <c r="F8" s="232" t="s">
        <v>29</v>
      </c>
      <c r="G8" s="233"/>
      <c r="H8" s="233"/>
      <c r="I8" s="234"/>
      <c r="J8" s="224">
        <v>756714</v>
      </c>
      <c r="K8" s="225"/>
      <c r="L8" s="226"/>
    </row>
    <row r="9" spans="1:12" ht="15" customHeight="1">
      <c r="A9"/>
      <c r="F9" s="231" t="s">
        <v>64</v>
      </c>
      <c r="G9" s="231"/>
      <c r="H9" s="231"/>
      <c r="I9" s="231"/>
      <c r="J9" s="215">
        <f>J8/(S13*45)</f>
        <v>69.4870523415978</v>
      </c>
      <c r="K9" s="216"/>
      <c r="L9" s="217"/>
    </row>
    <row r="10" spans="1:13" ht="15">
      <c r="A10"/>
      <c r="F10" s="232" t="s">
        <v>17</v>
      </c>
      <c r="G10" s="233"/>
      <c r="H10" s="233"/>
      <c r="I10" s="234"/>
      <c r="J10" s="215">
        <f>J4*0.9*J9*45</f>
        <v>1238259.272727273</v>
      </c>
      <c r="K10" s="216"/>
      <c r="L10" s="217"/>
      <c r="M10" s="200"/>
    </row>
    <row r="11" spans="1:20" s="3" customFormat="1" ht="15.75">
      <c r="A11" s="31" t="s">
        <v>120</v>
      </c>
      <c r="B11" s="119">
        <v>44</v>
      </c>
      <c r="S11" s="30" t="s">
        <v>84</v>
      </c>
      <c r="T11" s="37"/>
    </row>
    <row r="12" spans="1:21" s="29" customFormat="1" ht="15">
      <c r="A12" s="240" t="s">
        <v>119</v>
      </c>
      <c r="B12" s="241"/>
      <c r="C12" s="120" t="s">
        <v>57</v>
      </c>
      <c r="D12" s="120" t="s">
        <v>58</v>
      </c>
      <c r="E12" s="120" t="s">
        <v>101</v>
      </c>
      <c r="F12" s="120" t="s">
        <v>102</v>
      </c>
      <c r="G12" s="120" t="s">
        <v>103</v>
      </c>
      <c r="H12" s="120" t="s">
        <v>104</v>
      </c>
      <c r="I12" s="120" t="s">
        <v>202</v>
      </c>
      <c r="J12" s="120" t="s">
        <v>203</v>
      </c>
      <c r="K12" s="120" t="s">
        <v>118</v>
      </c>
      <c r="L12" s="120" t="s">
        <v>204</v>
      </c>
      <c r="M12" s="120"/>
      <c r="N12" s="120"/>
      <c r="O12" s="120"/>
      <c r="P12" s="120"/>
      <c r="Q12" s="120"/>
      <c r="R12" s="120"/>
      <c r="S12" s="27">
        <f>COUNTIF(C13:R13,"&gt;0")</f>
        <v>10</v>
      </c>
      <c r="T12" s="34"/>
      <c r="U12" s="3"/>
    </row>
    <row r="13" spans="1:22" ht="14.25">
      <c r="A13" s="213" t="s">
        <v>117</v>
      </c>
      <c r="B13" s="214"/>
      <c r="C13" s="27">
        <f>SUM(C16:C58)</f>
        <v>33</v>
      </c>
      <c r="D13" s="27">
        <f aca="true" t="shared" si="0" ref="D13:R13">SUM(D16:D58)</f>
        <v>9</v>
      </c>
      <c r="E13" s="27">
        <f t="shared" si="0"/>
        <v>34</v>
      </c>
      <c r="F13" s="27">
        <f t="shared" si="0"/>
        <v>14</v>
      </c>
      <c r="G13" s="27">
        <f t="shared" si="0"/>
        <v>29</v>
      </c>
      <c r="H13" s="27">
        <f t="shared" si="0"/>
        <v>10</v>
      </c>
      <c r="I13" s="27">
        <f t="shared" si="0"/>
        <v>5</v>
      </c>
      <c r="J13" s="27">
        <f t="shared" si="0"/>
        <v>35</v>
      </c>
      <c r="K13" s="27">
        <f t="shared" si="0"/>
        <v>36.5</v>
      </c>
      <c r="L13" s="27">
        <f t="shared" si="0"/>
        <v>36.5</v>
      </c>
      <c r="M13" s="27">
        <f t="shared" si="0"/>
        <v>0</v>
      </c>
      <c r="N13" s="27">
        <f t="shared" si="0"/>
        <v>0</v>
      </c>
      <c r="O13" s="27">
        <f t="shared" si="0"/>
        <v>0</v>
      </c>
      <c r="P13" s="27">
        <f t="shared" si="0"/>
        <v>0</v>
      </c>
      <c r="Q13" s="27">
        <f t="shared" si="0"/>
        <v>0</v>
      </c>
      <c r="R13" s="27">
        <f t="shared" si="0"/>
        <v>0</v>
      </c>
      <c r="S13" s="27">
        <f>SUM(B13:R13)</f>
        <v>242</v>
      </c>
      <c r="T13" s="34"/>
      <c r="U13" s="235" t="s">
        <v>121</v>
      </c>
      <c r="V13" s="235" t="s">
        <v>122</v>
      </c>
    </row>
    <row r="14" spans="1:22" ht="14.25">
      <c r="A14" s="213" t="s">
        <v>105</v>
      </c>
      <c r="B14" s="214"/>
      <c r="C14" s="28">
        <f aca="true" t="shared" si="1" ref="C14:R14">C13/$B$11</f>
        <v>0.75</v>
      </c>
      <c r="D14" s="28">
        <f t="shared" si="1"/>
        <v>0.20454545454545456</v>
      </c>
      <c r="E14" s="28">
        <f t="shared" si="1"/>
        <v>0.7727272727272727</v>
      </c>
      <c r="F14" s="28">
        <f t="shared" si="1"/>
        <v>0.3181818181818182</v>
      </c>
      <c r="G14" s="28">
        <f t="shared" si="1"/>
        <v>0.6590909090909091</v>
      </c>
      <c r="H14" s="28">
        <f t="shared" si="1"/>
        <v>0.22727272727272727</v>
      </c>
      <c r="I14" s="28">
        <f t="shared" si="1"/>
        <v>0.11363636363636363</v>
      </c>
      <c r="J14" s="28">
        <f t="shared" si="1"/>
        <v>0.7954545454545454</v>
      </c>
      <c r="K14" s="28">
        <f t="shared" si="1"/>
        <v>0.8295454545454546</v>
      </c>
      <c r="L14" s="28">
        <f t="shared" si="1"/>
        <v>0.8295454545454546</v>
      </c>
      <c r="M14" s="28">
        <f t="shared" si="1"/>
        <v>0</v>
      </c>
      <c r="N14" s="28">
        <f t="shared" si="1"/>
        <v>0</v>
      </c>
      <c r="O14" s="28">
        <f t="shared" si="1"/>
        <v>0</v>
      </c>
      <c r="P14" s="28">
        <f t="shared" si="1"/>
        <v>0</v>
      </c>
      <c r="Q14" s="28">
        <f t="shared" si="1"/>
        <v>0</v>
      </c>
      <c r="R14" s="28">
        <f t="shared" si="1"/>
        <v>0</v>
      </c>
      <c r="S14" s="28">
        <f>S13/(S12*B11)</f>
        <v>0.55</v>
      </c>
      <c r="T14" s="35"/>
      <c r="U14" s="236"/>
      <c r="V14" s="236"/>
    </row>
    <row r="15" spans="1:22" ht="15">
      <c r="A15" s="213" t="s">
        <v>106</v>
      </c>
      <c r="B15" s="214"/>
      <c r="C15" s="27">
        <f aca="true" t="shared" si="2" ref="C15:R15">IF($B$11-C13&lt;50,$B$11-C13,0)</f>
        <v>11</v>
      </c>
      <c r="D15" s="27">
        <f t="shared" si="2"/>
        <v>35</v>
      </c>
      <c r="E15" s="27">
        <f t="shared" si="2"/>
        <v>10</v>
      </c>
      <c r="F15" s="27">
        <f t="shared" si="2"/>
        <v>30</v>
      </c>
      <c r="G15" s="27">
        <f t="shared" si="2"/>
        <v>15</v>
      </c>
      <c r="H15" s="27">
        <f t="shared" si="2"/>
        <v>34</v>
      </c>
      <c r="I15" s="27">
        <f t="shared" si="2"/>
        <v>39</v>
      </c>
      <c r="J15" s="27">
        <f t="shared" si="2"/>
        <v>9</v>
      </c>
      <c r="K15" s="27">
        <f t="shared" si="2"/>
        <v>7.5</v>
      </c>
      <c r="L15" s="27">
        <f t="shared" si="2"/>
        <v>7.5</v>
      </c>
      <c r="M15" s="27">
        <f t="shared" si="2"/>
        <v>44</v>
      </c>
      <c r="N15" s="27">
        <f t="shared" si="2"/>
        <v>44</v>
      </c>
      <c r="O15" s="27">
        <f t="shared" si="2"/>
        <v>44</v>
      </c>
      <c r="P15" s="27">
        <f t="shared" si="2"/>
        <v>44</v>
      </c>
      <c r="Q15" s="27">
        <f t="shared" si="2"/>
        <v>44</v>
      </c>
      <c r="R15" s="27">
        <f t="shared" si="2"/>
        <v>44</v>
      </c>
      <c r="S15" s="27">
        <f>SUM(C15:R15)</f>
        <v>462</v>
      </c>
      <c r="T15" s="34"/>
      <c r="U15" s="27">
        <f>SUM(U16:U58)</f>
        <v>111</v>
      </c>
      <c r="V15" s="38">
        <f>U15/(S13*4)</f>
        <v>0.11466942148760331</v>
      </c>
    </row>
    <row r="16" spans="1:22" ht="15">
      <c r="A16" s="75" t="s">
        <v>4</v>
      </c>
      <c r="B16" s="121"/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27">
        <f aca="true" t="shared" si="3" ref="S16:S43">SUM(B16:R16)</f>
        <v>0</v>
      </c>
      <c r="T16" s="34"/>
      <c r="U16" s="125"/>
      <c r="V16" s="38" t="str">
        <f>IF(S16&gt;0,U16/(S16*4)," ")</f>
        <v> </v>
      </c>
    </row>
    <row r="17" spans="1:22" ht="15">
      <c r="A17" s="77" t="s">
        <v>51</v>
      </c>
      <c r="B17" s="122"/>
      <c r="C17" s="119"/>
      <c r="D17" s="119"/>
      <c r="E17" s="119"/>
      <c r="F17" s="119"/>
      <c r="G17" s="119"/>
      <c r="H17" s="119">
        <v>4</v>
      </c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27">
        <f t="shared" si="3"/>
        <v>4</v>
      </c>
      <c r="T17" s="34"/>
      <c r="U17" s="125">
        <v>11</v>
      </c>
      <c r="V17" s="38">
        <f aca="true" t="shared" si="4" ref="V17:V53">IF(S17&gt;0,U17/(S17*4)," ")</f>
        <v>0.6875</v>
      </c>
    </row>
    <row r="18" spans="1:22" ht="15">
      <c r="A18" s="77" t="s">
        <v>52</v>
      </c>
      <c r="B18" s="122"/>
      <c r="C18" s="119"/>
      <c r="D18" s="119"/>
      <c r="E18" s="119"/>
      <c r="F18" s="119"/>
      <c r="G18" s="119"/>
      <c r="H18" s="119">
        <v>6</v>
      </c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27">
        <f t="shared" si="3"/>
        <v>6</v>
      </c>
      <c r="T18" s="34"/>
      <c r="U18" s="125">
        <v>20</v>
      </c>
      <c r="V18" s="38">
        <f t="shared" si="4"/>
        <v>0.8333333333333334</v>
      </c>
    </row>
    <row r="19" spans="1:22" ht="15">
      <c r="A19" s="77" t="s">
        <v>107</v>
      </c>
      <c r="B19" s="122"/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27">
        <f t="shared" si="3"/>
        <v>0</v>
      </c>
      <c r="T19" s="34"/>
      <c r="U19" s="125"/>
      <c r="V19" s="38" t="str">
        <f t="shared" si="4"/>
        <v> </v>
      </c>
    </row>
    <row r="20" spans="1:22" ht="15">
      <c r="A20" s="77" t="s">
        <v>30</v>
      </c>
      <c r="B20" s="122"/>
      <c r="C20" s="119"/>
      <c r="D20" s="119"/>
      <c r="E20" s="119"/>
      <c r="F20" s="119"/>
      <c r="G20" s="119"/>
      <c r="H20" s="119"/>
      <c r="I20" s="119"/>
      <c r="J20" s="119"/>
      <c r="K20" s="119">
        <f>29.5+7</f>
        <v>36.5</v>
      </c>
      <c r="L20" s="119">
        <v>36.5</v>
      </c>
      <c r="M20" s="119"/>
      <c r="N20" s="119"/>
      <c r="O20" s="119"/>
      <c r="P20" s="119"/>
      <c r="Q20" s="119"/>
      <c r="R20" s="119"/>
      <c r="S20" s="27">
        <f t="shared" si="3"/>
        <v>73</v>
      </c>
      <c r="T20" s="34"/>
      <c r="U20" s="125">
        <v>39</v>
      </c>
      <c r="V20" s="38">
        <f t="shared" si="4"/>
        <v>0.13356164383561644</v>
      </c>
    </row>
    <row r="21" spans="1:22" ht="15">
      <c r="A21" s="77" t="s">
        <v>5</v>
      </c>
      <c r="B21" s="122"/>
      <c r="C21" s="119"/>
      <c r="D21" s="119"/>
      <c r="E21" s="119">
        <v>4</v>
      </c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27">
        <f t="shared" si="3"/>
        <v>4</v>
      </c>
      <c r="T21" s="34"/>
      <c r="U21" s="125">
        <v>23</v>
      </c>
      <c r="V21" s="38">
        <f t="shared" si="4"/>
        <v>1.4375</v>
      </c>
    </row>
    <row r="22" spans="1:22" ht="15">
      <c r="A22" s="77" t="s">
        <v>10</v>
      </c>
      <c r="B22" s="122"/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27">
        <f t="shared" si="3"/>
        <v>0</v>
      </c>
      <c r="T22" s="34"/>
      <c r="U22" s="125"/>
      <c r="V22" s="38" t="str">
        <f t="shared" si="4"/>
        <v> </v>
      </c>
    </row>
    <row r="23" spans="1:22" ht="14.25">
      <c r="A23" s="77" t="s">
        <v>11</v>
      </c>
      <c r="B23" s="122"/>
      <c r="C23" s="119"/>
      <c r="D23" s="119"/>
      <c r="E23" s="119"/>
      <c r="F23" s="119">
        <v>2</v>
      </c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27">
        <f t="shared" si="3"/>
        <v>2</v>
      </c>
      <c r="T23" s="34"/>
      <c r="U23" s="125">
        <v>18</v>
      </c>
      <c r="V23" s="38">
        <f t="shared" si="4"/>
        <v>2.25</v>
      </c>
    </row>
    <row r="24" spans="1:22" ht="14.25">
      <c r="A24" s="77" t="s">
        <v>6</v>
      </c>
      <c r="B24" s="122"/>
      <c r="C24" s="119"/>
      <c r="D24" s="119"/>
      <c r="E24" s="119">
        <v>30</v>
      </c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27">
        <f t="shared" si="3"/>
        <v>30</v>
      </c>
      <c r="T24" s="34"/>
      <c r="U24" s="125"/>
      <c r="V24" s="38">
        <f t="shared" si="4"/>
        <v>0</v>
      </c>
    </row>
    <row r="25" spans="1:22" ht="15">
      <c r="A25" s="77" t="s">
        <v>108</v>
      </c>
      <c r="B25" s="122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27">
        <f t="shared" si="3"/>
        <v>0</v>
      </c>
      <c r="T25" s="34"/>
      <c r="U25" s="125"/>
      <c r="V25" s="38" t="str">
        <f t="shared" si="4"/>
        <v> </v>
      </c>
    </row>
    <row r="26" spans="1:22" ht="14.25">
      <c r="A26" s="77" t="s">
        <v>109</v>
      </c>
      <c r="B26" s="122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27">
        <f t="shared" si="3"/>
        <v>0</v>
      </c>
      <c r="T26" s="34"/>
      <c r="U26" s="125"/>
      <c r="V26" s="38" t="str">
        <f t="shared" si="4"/>
        <v> </v>
      </c>
    </row>
    <row r="27" spans="1:22" ht="15">
      <c r="A27" s="77" t="s">
        <v>110</v>
      </c>
      <c r="B27" s="122"/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27">
        <f t="shared" si="3"/>
        <v>0</v>
      </c>
      <c r="T27" s="34"/>
      <c r="U27" s="125"/>
      <c r="V27" s="38" t="str">
        <f t="shared" si="4"/>
        <v> </v>
      </c>
    </row>
    <row r="28" spans="1:22" ht="14.25">
      <c r="A28" s="77" t="s">
        <v>12</v>
      </c>
      <c r="B28" s="122"/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27">
        <f t="shared" si="3"/>
        <v>0</v>
      </c>
      <c r="T28" s="34"/>
      <c r="U28" s="125"/>
      <c r="V28" s="38" t="str">
        <f t="shared" si="4"/>
        <v> </v>
      </c>
    </row>
    <row r="29" spans="1:22" ht="14.25">
      <c r="A29" s="77" t="s">
        <v>35</v>
      </c>
      <c r="B29" s="122"/>
      <c r="C29" s="119">
        <v>29</v>
      </c>
      <c r="D29" s="119"/>
      <c r="E29" s="119"/>
      <c r="F29" s="119"/>
      <c r="G29" s="119">
        <v>29</v>
      </c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27">
        <f t="shared" si="3"/>
        <v>58</v>
      </c>
      <c r="T29" s="34"/>
      <c r="U29" s="125"/>
      <c r="V29" s="38">
        <f t="shared" si="4"/>
        <v>0</v>
      </c>
    </row>
    <row r="30" spans="1:22" ht="15">
      <c r="A30" s="77" t="s">
        <v>13</v>
      </c>
      <c r="B30" s="122"/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27">
        <f t="shared" si="3"/>
        <v>0</v>
      </c>
      <c r="T30" s="34"/>
      <c r="U30" s="125"/>
      <c r="V30" s="38" t="str">
        <f t="shared" si="4"/>
        <v> </v>
      </c>
    </row>
    <row r="31" spans="1:22" ht="15">
      <c r="A31" s="77" t="s">
        <v>14</v>
      </c>
      <c r="B31" s="122"/>
      <c r="C31" s="119"/>
      <c r="D31" s="119"/>
      <c r="E31" s="119"/>
      <c r="F31" s="119">
        <v>8</v>
      </c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27">
        <f t="shared" si="3"/>
        <v>8</v>
      </c>
      <c r="T31" s="34"/>
      <c r="U31" s="125"/>
      <c r="V31" s="38">
        <f t="shared" si="4"/>
        <v>0</v>
      </c>
    </row>
    <row r="32" spans="1:22" ht="15">
      <c r="A32" s="77" t="s">
        <v>7</v>
      </c>
      <c r="B32" s="122"/>
      <c r="C32" s="119"/>
      <c r="D32" s="119">
        <v>4</v>
      </c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27">
        <f t="shared" si="3"/>
        <v>4</v>
      </c>
      <c r="T32" s="34"/>
      <c r="U32" s="125"/>
      <c r="V32" s="38">
        <f t="shared" si="4"/>
        <v>0</v>
      </c>
    </row>
    <row r="33" spans="1:22" ht="15">
      <c r="A33" s="77" t="s">
        <v>111</v>
      </c>
      <c r="B33" s="122"/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27">
        <f t="shared" si="3"/>
        <v>0</v>
      </c>
      <c r="T33" s="34"/>
      <c r="U33" s="125"/>
      <c r="V33" s="38" t="str">
        <f t="shared" si="4"/>
        <v> </v>
      </c>
    </row>
    <row r="34" spans="1:22" ht="15">
      <c r="A34" s="77" t="s">
        <v>112</v>
      </c>
      <c r="B34" s="122"/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27">
        <f t="shared" si="3"/>
        <v>0</v>
      </c>
      <c r="T34" s="34"/>
      <c r="U34" s="125"/>
      <c r="V34" s="38" t="str">
        <f t="shared" si="4"/>
        <v> </v>
      </c>
    </row>
    <row r="35" spans="1:22" ht="14.25">
      <c r="A35" s="77" t="s">
        <v>15</v>
      </c>
      <c r="B35" s="122"/>
      <c r="C35" s="119">
        <v>4</v>
      </c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27">
        <f t="shared" si="3"/>
        <v>4</v>
      </c>
      <c r="T35" s="34"/>
      <c r="U35" s="125"/>
      <c r="V35" s="38">
        <f t="shared" si="4"/>
        <v>0</v>
      </c>
    </row>
    <row r="36" spans="1:22" ht="15">
      <c r="A36" s="77" t="s">
        <v>53</v>
      </c>
      <c r="B36" s="122"/>
      <c r="C36" s="119"/>
      <c r="D36" s="119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27">
        <f t="shared" si="3"/>
        <v>0</v>
      </c>
      <c r="T36" s="34"/>
      <c r="U36" s="125"/>
      <c r="V36" s="38" t="str">
        <f t="shared" si="4"/>
        <v> </v>
      </c>
    </row>
    <row r="37" spans="1:22" ht="14.25">
      <c r="A37" s="77" t="s">
        <v>113</v>
      </c>
      <c r="B37" s="122"/>
      <c r="C37" s="119"/>
      <c r="D37" s="119"/>
      <c r="E37" s="119"/>
      <c r="F37" s="119"/>
      <c r="G37" s="119"/>
      <c r="H37" s="119"/>
      <c r="I37" s="119">
        <v>5</v>
      </c>
      <c r="J37" s="119"/>
      <c r="K37" s="119"/>
      <c r="L37" s="119"/>
      <c r="M37" s="119"/>
      <c r="N37" s="119"/>
      <c r="O37" s="119"/>
      <c r="P37" s="119"/>
      <c r="Q37" s="119"/>
      <c r="R37" s="119"/>
      <c r="S37" s="27">
        <f t="shared" si="3"/>
        <v>5</v>
      </c>
      <c r="T37" s="34"/>
      <c r="U37" s="125"/>
      <c r="V37" s="38">
        <f t="shared" si="4"/>
        <v>0</v>
      </c>
    </row>
    <row r="38" spans="1:22" ht="14.25">
      <c r="A38" s="77" t="s">
        <v>114</v>
      </c>
      <c r="B38" s="122"/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27">
        <f t="shared" si="3"/>
        <v>0</v>
      </c>
      <c r="T38" s="34"/>
      <c r="U38" s="125"/>
      <c r="V38" s="38" t="str">
        <f t="shared" si="4"/>
        <v> </v>
      </c>
    </row>
    <row r="39" spans="1:22" ht="15">
      <c r="A39" s="77" t="s">
        <v>16</v>
      </c>
      <c r="B39" s="122"/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27">
        <f t="shared" si="3"/>
        <v>0</v>
      </c>
      <c r="T39" s="34"/>
      <c r="U39" s="125"/>
      <c r="V39" s="38" t="str">
        <f t="shared" si="4"/>
        <v> </v>
      </c>
    </row>
    <row r="40" spans="1:22" ht="15">
      <c r="A40" s="77" t="s">
        <v>8</v>
      </c>
      <c r="B40" s="122"/>
      <c r="C40" s="119"/>
      <c r="D40" s="119">
        <v>5</v>
      </c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27">
        <f t="shared" si="3"/>
        <v>5</v>
      </c>
      <c r="T40" s="34"/>
      <c r="U40" s="125"/>
      <c r="V40" s="38">
        <f t="shared" si="4"/>
        <v>0</v>
      </c>
    </row>
    <row r="41" spans="1:22" ht="15">
      <c r="A41" s="77" t="s">
        <v>115</v>
      </c>
      <c r="B41" s="122"/>
      <c r="C41" s="119"/>
      <c r="D41" s="119"/>
      <c r="E41" s="119"/>
      <c r="F41" s="119"/>
      <c r="G41" s="119"/>
      <c r="H41" s="119"/>
      <c r="I41" s="119"/>
      <c r="J41" s="119">
        <v>35</v>
      </c>
      <c r="K41" s="119"/>
      <c r="L41" s="119"/>
      <c r="M41" s="119"/>
      <c r="N41" s="119"/>
      <c r="O41" s="119"/>
      <c r="P41" s="119"/>
      <c r="Q41" s="119"/>
      <c r="R41" s="119"/>
      <c r="S41" s="27">
        <f t="shared" si="3"/>
        <v>35</v>
      </c>
      <c r="T41" s="34"/>
      <c r="U41" s="125"/>
      <c r="V41" s="38">
        <f t="shared" si="4"/>
        <v>0</v>
      </c>
    </row>
    <row r="42" spans="1:22" ht="14.25">
      <c r="A42" s="79" t="s">
        <v>116</v>
      </c>
      <c r="B42" s="123"/>
      <c r="C42" s="119"/>
      <c r="D42" s="119"/>
      <c r="E42" s="119"/>
      <c r="F42" s="119">
        <v>4</v>
      </c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27">
        <f t="shared" si="3"/>
        <v>4</v>
      </c>
      <c r="T42" s="34"/>
      <c r="U42" s="125"/>
      <c r="V42" s="38">
        <f t="shared" si="4"/>
        <v>0</v>
      </c>
    </row>
    <row r="43" spans="1:22" ht="14.25">
      <c r="A43" s="79" t="s">
        <v>9</v>
      </c>
      <c r="B43" s="123"/>
      <c r="C43" s="119"/>
      <c r="D43" s="119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27">
        <f t="shared" si="3"/>
        <v>0</v>
      </c>
      <c r="T43" s="34"/>
      <c r="U43" s="125"/>
      <c r="V43" s="38" t="str">
        <f t="shared" si="4"/>
        <v> </v>
      </c>
    </row>
    <row r="44" spans="1:22" ht="14.25">
      <c r="A44" s="78"/>
      <c r="B44" s="124"/>
      <c r="C44" s="124"/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4"/>
      <c r="S44" s="27">
        <f aca="true" t="shared" si="5" ref="S44:S53">SUM(B44:R44)</f>
        <v>0</v>
      </c>
      <c r="U44" s="124"/>
      <c r="V44" s="38" t="str">
        <f t="shared" si="4"/>
        <v> </v>
      </c>
    </row>
    <row r="45" spans="1:22" ht="14.25">
      <c r="A45" s="78"/>
      <c r="B45" s="124"/>
      <c r="C45" s="124"/>
      <c r="D45" s="124"/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124"/>
      <c r="P45" s="124"/>
      <c r="Q45" s="124"/>
      <c r="R45" s="124"/>
      <c r="S45" s="27">
        <f t="shared" si="5"/>
        <v>0</v>
      </c>
      <c r="U45" s="124"/>
      <c r="V45" s="38" t="str">
        <f t="shared" si="4"/>
        <v> </v>
      </c>
    </row>
    <row r="46" spans="1:22" ht="14.25">
      <c r="A46" s="78"/>
      <c r="B46" s="124"/>
      <c r="C46" s="124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S46" s="27">
        <f t="shared" si="5"/>
        <v>0</v>
      </c>
      <c r="U46" s="124"/>
      <c r="V46" s="38" t="str">
        <f t="shared" si="4"/>
        <v> </v>
      </c>
    </row>
    <row r="47" spans="1:22" ht="14.25">
      <c r="A47" s="78"/>
      <c r="B47" s="124"/>
      <c r="C47" s="124"/>
      <c r="D47" s="124"/>
      <c r="E47" s="124"/>
      <c r="F47" s="124"/>
      <c r="G47" s="124"/>
      <c r="H47" s="124"/>
      <c r="I47" s="124"/>
      <c r="J47" s="124"/>
      <c r="K47" s="124"/>
      <c r="L47" s="124"/>
      <c r="M47" s="124"/>
      <c r="N47" s="124"/>
      <c r="O47" s="124"/>
      <c r="P47" s="124"/>
      <c r="Q47" s="124"/>
      <c r="R47" s="124"/>
      <c r="S47" s="27">
        <f t="shared" si="5"/>
        <v>0</v>
      </c>
      <c r="U47" s="124"/>
      <c r="V47" s="38" t="str">
        <f t="shared" si="4"/>
        <v> </v>
      </c>
    </row>
    <row r="48" spans="1:22" ht="14.25">
      <c r="A48" s="78"/>
      <c r="B48" s="124"/>
      <c r="C48" s="124"/>
      <c r="D48" s="124"/>
      <c r="E48" s="124"/>
      <c r="F48" s="124"/>
      <c r="G48" s="124"/>
      <c r="H48" s="124"/>
      <c r="I48" s="124"/>
      <c r="J48" s="124"/>
      <c r="K48" s="124"/>
      <c r="L48" s="124"/>
      <c r="M48" s="124"/>
      <c r="N48" s="124"/>
      <c r="O48" s="124"/>
      <c r="P48" s="124"/>
      <c r="Q48" s="124"/>
      <c r="R48" s="124"/>
      <c r="S48" s="27">
        <f t="shared" si="5"/>
        <v>0</v>
      </c>
      <c r="U48" s="124"/>
      <c r="V48" s="38" t="str">
        <f t="shared" si="4"/>
        <v> </v>
      </c>
    </row>
    <row r="49" spans="1:22" ht="14.25">
      <c r="A49" s="78"/>
      <c r="B49" s="124"/>
      <c r="C49" s="124"/>
      <c r="D49" s="124"/>
      <c r="E49" s="124"/>
      <c r="F49" s="124"/>
      <c r="G49" s="124"/>
      <c r="H49" s="124"/>
      <c r="I49" s="124"/>
      <c r="J49" s="124"/>
      <c r="K49" s="124"/>
      <c r="L49" s="124"/>
      <c r="M49" s="124"/>
      <c r="N49" s="124"/>
      <c r="O49" s="124"/>
      <c r="P49" s="124"/>
      <c r="Q49" s="124"/>
      <c r="R49" s="124"/>
      <c r="S49" s="27">
        <f t="shared" si="5"/>
        <v>0</v>
      </c>
      <c r="U49" s="124"/>
      <c r="V49" s="38" t="str">
        <f t="shared" si="4"/>
        <v> </v>
      </c>
    </row>
    <row r="50" spans="1:22" ht="14.25">
      <c r="A50" s="78"/>
      <c r="B50" s="124"/>
      <c r="C50" s="124"/>
      <c r="D50" s="124"/>
      <c r="E50" s="124"/>
      <c r="F50" s="124"/>
      <c r="G50" s="124"/>
      <c r="H50" s="124"/>
      <c r="I50" s="124"/>
      <c r="J50" s="124"/>
      <c r="K50" s="124"/>
      <c r="L50" s="124"/>
      <c r="M50" s="124"/>
      <c r="N50" s="124"/>
      <c r="O50" s="124"/>
      <c r="P50" s="124"/>
      <c r="Q50" s="124"/>
      <c r="R50" s="124"/>
      <c r="S50" s="27">
        <f t="shared" si="5"/>
        <v>0</v>
      </c>
      <c r="U50" s="124"/>
      <c r="V50" s="38" t="str">
        <f t="shared" si="4"/>
        <v> </v>
      </c>
    </row>
    <row r="51" spans="1:22" ht="14.25">
      <c r="A51" s="78"/>
      <c r="B51" s="124"/>
      <c r="C51" s="124"/>
      <c r="D51" s="124"/>
      <c r="E51" s="124"/>
      <c r="F51" s="124"/>
      <c r="G51" s="124"/>
      <c r="H51" s="124"/>
      <c r="I51" s="124"/>
      <c r="J51" s="124"/>
      <c r="K51" s="124"/>
      <c r="L51" s="124"/>
      <c r="M51" s="124"/>
      <c r="N51" s="124"/>
      <c r="O51" s="124"/>
      <c r="P51" s="124"/>
      <c r="Q51" s="124"/>
      <c r="R51" s="124"/>
      <c r="S51" s="27">
        <f t="shared" si="5"/>
        <v>0</v>
      </c>
      <c r="U51" s="124"/>
      <c r="V51" s="38" t="str">
        <f t="shared" si="4"/>
        <v> </v>
      </c>
    </row>
    <row r="52" spans="1:22" ht="14.25">
      <c r="A52" s="78"/>
      <c r="B52" s="124"/>
      <c r="C52" s="124"/>
      <c r="D52" s="124"/>
      <c r="E52" s="124"/>
      <c r="F52" s="124"/>
      <c r="G52" s="124"/>
      <c r="H52" s="124"/>
      <c r="I52" s="124"/>
      <c r="J52" s="124"/>
      <c r="K52" s="124"/>
      <c r="L52" s="124"/>
      <c r="M52" s="124"/>
      <c r="N52" s="124"/>
      <c r="O52" s="124"/>
      <c r="P52" s="124"/>
      <c r="Q52" s="124"/>
      <c r="R52" s="124"/>
      <c r="S52" s="27">
        <f t="shared" si="5"/>
        <v>0</v>
      </c>
      <c r="U52" s="124"/>
      <c r="V52" s="38" t="str">
        <f t="shared" si="4"/>
        <v> </v>
      </c>
    </row>
    <row r="53" spans="1:22" ht="14.25">
      <c r="A53" s="78"/>
      <c r="B53" s="124"/>
      <c r="C53" s="124"/>
      <c r="D53" s="124"/>
      <c r="E53" s="124"/>
      <c r="F53" s="124"/>
      <c r="G53" s="124"/>
      <c r="H53" s="124"/>
      <c r="I53" s="124"/>
      <c r="J53" s="124"/>
      <c r="K53" s="124"/>
      <c r="L53" s="124"/>
      <c r="M53" s="124"/>
      <c r="N53" s="124"/>
      <c r="O53" s="124"/>
      <c r="P53" s="124"/>
      <c r="Q53" s="124"/>
      <c r="R53" s="124"/>
      <c r="S53" s="27">
        <f t="shared" si="5"/>
        <v>0</v>
      </c>
      <c r="U53" s="124"/>
      <c r="V53" s="38" t="str">
        <f t="shared" si="4"/>
        <v> </v>
      </c>
    </row>
  </sheetData>
  <sheetProtection sheet="1" objects="1" scenarios="1" formatCells="0" formatColumns="0" formatRows="0"/>
  <mergeCells count="23">
    <mergeCell ref="U13:U14"/>
    <mergeCell ref="V13:V14"/>
    <mergeCell ref="J3:L3"/>
    <mergeCell ref="A12:B12"/>
    <mergeCell ref="A13:B13"/>
    <mergeCell ref="A14:B14"/>
    <mergeCell ref="J4:L4"/>
    <mergeCell ref="A15:B15"/>
    <mergeCell ref="A1:W1"/>
    <mergeCell ref="J10:L10"/>
    <mergeCell ref="J9:L9"/>
    <mergeCell ref="J7:L7"/>
    <mergeCell ref="J6:L6"/>
    <mergeCell ref="J8:L8"/>
    <mergeCell ref="J5:L5"/>
    <mergeCell ref="F3:I3"/>
    <mergeCell ref="F4:I4"/>
    <mergeCell ref="F5:I5"/>
    <mergeCell ref="F6:I6"/>
    <mergeCell ref="F7:I7"/>
    <mergeCell ref="F8:I8"/>
    <mergeCell ref="F9:I9"/>
    <mergeCell ref="F10:I10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1"/>
  <sheetViews>
    <sheetView showGridLines="0" zoomScale="85" zoomScaleNormal="85" zoomScalePageLayoutView="0" workbookViewId="0" topLeftCell="A1">
      <pane xSplit="12" ySplit="22" topLeftCell="M23" activePane="bottomRight" state="frozen"/>
      <selection pane="topLeft" activeCell="A4" sqref="A4"/>
      <selection pane="topRight" activeCell="A4" sqref="A4"/>
      <selection pane="bottomLeft" activeCell="A4" sqref="A4"/>
      <selection pane="bottomRight" activeCell="H10" sqref="H10"/>
    </sheetView>
  </sheetViews>
  <sheetFormatPr defaultColWidth="11.421875" defaultRowHeight="15"/>
  <cols>
    <col min="1" max="1" width="41.28125" style="3" customWidth="1"/>
    <col min="2" max="2" width="26.140625" style="3" customWidth="1"/>
    <col min="3" max="3" width="23.8515625" style="3" customWidth="1"/>
    <col min="4" max="4" width="1.421875" style="3" customWidth="1"/>
    <col min="5" max="9" width="18.00390625" style="3" customWidth="1"/>
    <col min="10" max="10" width="19.57421875" style="3" customWidth="1"/>
    <col min="11" max="11" width="16.7109375" style="3" customWidth="1"/>
    <col min="12" max="12" width="11.8515625" style="3" customWidth="1"/>
    <col min="13" max="16384" width="11.421875" style="3" customWidth="1"/>
  </cols>
  <sheetData>
    <row r="1" spans="1:12" ht="26.25" customHeight="1">
      <c r="A1" s="211" t="s">
        <v>173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</row>
    <row r="2" spans="1:8" s="129" customFormat="1" ht="15.75">
      <c r="A2" s="33"/>
      <c r="B2" s="33"/>
      <c r="C2" s="33"/>
      <c r="D2" s="33"/>
      <c r="E2" s="33"/>
      <c r="F2" s="33"/>
      <c r="G2" s="33"/>
      <c r="H2" s="33"/>
    </row>
    <row r="3" spans="1:2" ht="30">
      <c r="A3" s="140" t="s">
        <v>56</v>
      </c>
      <c r="B3" s="119">
        <f>8.5*5</f>
        <v>42.5</v>
      </c>
    </row>
    <row r="4" spans="2:10" ht="41.25">
      <c r="B4" s="142" t="s">
        <v>94</v>
      </c>
      <c r="C4" s="26" t="s">
        <v>163</v>
      </c>
      <c r="E4" s="26" t="s">
        <v>164</v>
      </c>
      <c r="F4" s="26" t="s">
        <v>59</v>
      </c>
      <c r="I4" s="17" t="s">
        <v>41</v>
      </c>
      <c r="J4" s="18">
        <f>B21-(B18+B19)</f>
        <v>161544.59999999998</v>
      </c>
    </row>
    <row r="5" spans="1:6" ht="15">
      <c r="A5" s="130"/>
      <c r="B5" s="143" t="s">
        <v>66</v>
      </c>
      <c r="C5" s="12">
        <v>38.5</v>
      </c>
      <c r="D5" s="131"/>
      <c r="E5" s="14">
        <f aca="true" t="shared" si="0" ref="E5:E11">IF(C5&lt;&gt;0,$B$3-C5,0)</f>
        <v>4</v>
      </c>
      <c r="F5" s="15">
        <f aca="true" t="shared" si="1" ref="F5:F11">IF(C5&lt;&gt;0,C5/$B$3,0)</f>
        <v>0.9058823529411765</v>
      </c>
    </row>
    <row r="6" spans="1:6" ht="15">
      <c r="A6" s="130"/>
      <c r="B6" s="143" t="s">
        <v>67</v>
      </c>
      <c r="C6" s="12">
        <v>34</v>
      </c>
      <c r="D6" s="131"/>
      <c r="E6" s="14">
        <f t="shared" si="0"/>
        <v>8.5</v>
      </c>
      <c r="F6" s="15">
        <f t="shared" si="1"/>
        <v>0.8</v>
      </c>
    </row>
    <row r="7" spans="1:6" ht="15">
      <c r="A7" s="130"/>
      <c r="B7" s="143" t="s">
        <v>98</v>
      </c>
      <c r="C7" s="12">
        <v>25.5</v>
      </c>
      <c r="D7" s="131"/>
      <c r="E7" s="14">
        <f t="shared" si="0"/>
        <v>17</v>
      </c>
      <c r="F7" s="15">
        <f t="shared" si="1"/>
        <v>0.6</v>
      </c>
    </row>
    <row r="8" spans="1:6" ht="15">
      <c r="A8" s="130"/>
      <c r="B8" s="143" t="s">
        <v>99</v>
      </c>
      <c r="C8" s="12">
        <v>29.5</v>
      </c>
      <c r="D8" s="131"/>
      <c r="E8" s="14">
        <f t="shared" si="0"/>
        <v>13</v>
      </c>
      <c r="F8" s="15">
        <f t="shared" si="1"/>
        <v>0.6941176470588235</v>
      </c>
    </row>
    <row r="9" spans="1:6" ht="15">
      <c r="A9" s="130"/>
      <c r="B9" s="143"/>
      <c r="C9" s="12"/>
      <c r="D9" s="131"/>
      <c r="E9" s="14">
        <f t="shared" si="0"/>
        <v>0</v>
      </c>
      <c r="F9" s="15">
        <f t="shared" si="1"/>
        <v>0</v>
      </c>
    </row>
    <row r="10" spans="1:6" ht="15">
      <c r="A10" s="137"/>
      <c r="B10" s="123"/>
      <c r="C10" s="12"/>
      <c r="D10" s="131"/>
      <c r="E10" s="14">
        <f t="shared" si="0"/>
        <v>0</v>
      </c>
      <c r="F10" s="15">
        <f t="shared" si="1"/>
        <v>0</v>
      </c>
    </row>
    <row r="11" spans="1:6" ht="15">
      <c r="A11" s="137"/>
      <c r="B11" s="144"/>
      <c r="C11" s="12"/>
      <c r="D11" s="131"/>
      <c r="E11" s="14">
        <f t="shared" si="0"/>
        <v>0</v>
      </c>
      <c r="F11" s="15">
        <f t="shared" si="1"/>
        <v>0</v>
      </c>
    </row>
    <row r="12" spans="1:2" ht="15">
      <c r="A12" s="13" t="s">
        <v>95</v>
      </c>
      <c r="B12" s="123">
        <v>4</v>
      </c>
    </row>
    <row r="13" spans="1:2" ht="15">
      <c r="A13" s="13" t="s">
        <v>68</v>
      </c>
      <c r="B13" s="25">
        <f>B12*B3*45</f>
        <v>7650</v>
      </c>
    </row>
    <row r="14" spans="1:2" ht="15">
      <c r="A14" s="13" t="s">
        <v>69</v>
      </c>
      <c r="B14" s="25">
        <f>B13-(SUM(C5:C11)*45)</f>
        <v>1912.5</v>
      </c>
    </row>
    <row r="15" spans="1:2" ht="15">
      <c r="A15" s="13" t="s">
        <v>62</v>
      </c>
      <c r="B15" s="10">
        <f>(B13-B14)/B13</f>
        <v>0.75</v>
      </c>
    </row>
    <row r="16" spans="1:2" s="129" customFormat="1" ht="15">
      <c r="A16" s="126"/>
      <c r="B16" s="127"/>
    </row>
    <row r="17" spans="1:11" s="129" customFormat="1" ht="42.75">
      <c r="A17" s="126"/>
      <c r="B17" s="32" t="s">
        <v>144</v>
      </c>
      <c r="C17" s="32" t="s">
        <v>143</v>
      </c>
      <c r="E17" s="32" t="s">
        <v>145</v>
      </c>
      <c r="F17" s="32" t="s">
        <v>146</v>
      </c>
      <c r="G17" s="32" t="s">
        <v>192</v>
      </c>
      <c r="H17" s="32" t="s">
        <v>191</v>
      </c>
      <c r="I17" s="32" t="s">
        <v>100</v>
      </c>
      <c r="J17" s="32" t="s">
        <v>96</v>
      </c>
      <c r="K17" s="32" t="s">
        <v>97</v>
      </c>
    </row>
    <row r="18" spans="1:11" ht="14.25">
      <c r="A18" s="20" t="s">
        <v>142</v>
      </c>
      <c r="B18" s="145">
        <f>294135</f>
        <v>294135</v>
      </c>
      <c r="C18" s="15">
        <f>B18/(B18+B19)</f>
        <v>0.36415330503155163</v>
      </c>
      <c r="E18" s="146">
        <v>13963</v>
      </c>
      <c r="F18" s="132">
        <f>E18/(E19+E18)</f>
        <v>0.9108878596124992</v>
      </c>
      <c r="G18" s="133">
        <f>E18/$B$12/45</f>
        <v>77.57222222222222</v>
      </c>
      <c r="H18" s="133">
        <f>E18/(B13-B14)</f>
        <v>2.4336383442265794</v>
      </c>
      <c r="I18" s="24">
        <f>B18/E18</f>
        <v>21.065315476616775</v>
      </c>
      <c r="J18" s="147">
        <v>0.25</v>
      </c>
      <c r="K18" s="24">
        <f>B$18/(E18*J18)</f>
        <v>84.2612619064671</v>
      </c>
    </row>
    <row r="19" spans="1:11" ht="14.25">
      <c r="A19" s="20" t="s">
        <v>141</v>
      </c>
      <c r="B19" s="145">
        <f>513588</f>
        <v>513588</v>
      </c>
      <c r="C19" s="15">
        <f>B19/(B19+B18)</f>
        <v>0.6358466949684484</v>
      </c>
      <c r="E19" s="146">
        <v>1366</v>
      </c>
      <c r="F19" s="132">
        <f>E19/(E18+E19)</f>
        <v>0.08911214038750082</v>
      </c>
      <c r="G19" s="133">
        <f>E19/$B$12/45</f>
        <v>7.588888888888889</v>
      </c>
      <c r="H19" s="133">
        <f>E19/(B13-B14)</f>
        <v>0.23808278867102398</v>
      </c>
      <c r="I19" s="24">
        <f>B19/E19</f>
        <v>375.97950219619327</v>
      </c>
      <c r="J19" s="147">
        <v>1.5</v>
      </c>
      <c r="K19" s="24">
        <f>B$18/(E19*J19)</f>
        <v>143.55051244509517</v>
      </c>
    </row>
    <row r="20" spans="1:10" ht="15">
      <c r="A20" s="141" t="s">
        <v>65</v>
      </c>
      <c r="B20" s="134">
        <f>(B18+B19)/(B13-B14)</f>
        <v>140.77960784313726</v>
      </c>
      <c r="C20" s="135"/>
      <c r="D20" s="135"/>
      <c r="E20" s="135"/>
      <c r="F20" s="135"/>
      <c r="J20" s="64"/>
    </row>
    <row r="21" spans="1:2" ht="15">
      <c r="A21" s="20" t="s">
        <v>70</v>
      </c>
      <c r="B21" s="136">
        <f>B20*B13*0.9</f>
        <v>969267.6</v>
      </c>
    </row>
  </sheetData>
  <sheetProtection sheet="1" objects="1" scenarios="1" formatCells="0" formatColumns="0" formatRows="0"/>
  <mergeCells count="1">
    <mergeCell ref="A1:L1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0"/>
  <sheetViews>
    <sheetView showGridLines="0" zoomScale="85" zoomScaleNormal="85" zoomScalePageLayoutView="0" workbookViewId="0" topLeftCell="A1">
      <selection activeCell="E21" sqref="E21"/>
    </sheetView>
  </sheetViews>
  <sheetFormatPr defaultColWidth="11.421875" defaultRowHeight="15"/>
  <cols>
    <col min="1" max="1" width="41.28125" style="3" customWidth="1"/>
    <col min="2" max="3" width="23.140625" style="3" customWidth="1"/>
    <col min="4" max="4" width="1.421875" style="3" customWidth="1"/>
    <col min="5" max="8" width="24.28125" style="3" customWidth="1"/>
    <col min="9" max="9" width="22.421875" style="3" customWidth="1"/>
    <col min="10" max="10" width="11.8515625" style="3" customWidth="1"/>
    <col min="11" max="16384" width="11.421875" style="3" customWidth="1"/>
  </cols>
  <sheetData>
    <row r="1" spans="1:10" ht="26.25" customHeight="1">
      <c r="A1" s="211" t="s">
        <v>181</v>
      </c>
      <c r="B1" s="211"/>
      <c r="C1" s="211"/>
      <c r="D1" s="211"/>
      <c r="E1" s="211"/>
      <c r="F1" s="211"/>
      <c r="G1" s="211"/>
      <c r="H1" s="211"/>
      <c r="I1" s="211"/>
      <c r="J1" s="211"/>
    </row>
    <row r="2" spans="1:8" s="129" customFormat="1" ht="15.75">
      <c r="A2" s="33"/>
      <c r="B2" s="33"/>
      <c r="C2" s="33"/>
      <c r="D2" s="33"/>
      <c r="E2" s="33"/>
      <c r="F2" s="33"/>
      <c r="G2" s="33"/>
      <c r="H2" s="33"/>
    </row>
    <row r="3" spans="1:2" ht="30">
      <c r="A3" s="140" t="s">
        <v>56</v>
      </c>
      <c r="B3" s="119">
        <v>35</v>
      </c>
    </row>
    <row r="4" spans="2:9" ht="41.25">
      <c r="B4" s="142" t="s">
        <v>193</v>
      </c>
      <c r="C4" s="26" t="s">
        <v>163</v>
      </c>
      <c r="E4" s="26" t="s">
        <v>164</v>
      </c>
      <c r="F4" s="26" t="s">
        <v>59</v>
      </c>
      <c r="H4" s="17" t="s">
        <v>41</v>
      </c>
      <c r="I4" s="18">
        <f>B20-(B18)</f>
        <v>127012.84090909094</v>
      </c>
    </row>
    <row r="5" spans="1:6" ht="15">
      <c r="A5" s="130"/>
      <c r="B5" s="143" t="s">
        <v>71</v>
      </c>
      <c r="C5" s="12">
        <v>33</v>
      </c>
      <c r="D5" s="131"/>
      <c r="E5" s="14">
        <f aca="true" t="shared" si="0" ref="E5:E11">IF(C5&lt;&gt;0,$B$3-C5,0)</f>
        <v>2</v>
      </c>
      <c r="F5" s="15">
        <f aca="true" t="shared" si="1" ref="F5:F11">IF(C5&lt;&gt;0,C5/$B$3,0)</f>
        <v>0.9428571428571428</v>
      </c>
    </row>
    <row r="6" spans="1:6" ht="15">
      <c r="A6" s="130"/>
      <c r="B6" s="143" t="s">
        <v>72</v>
      </c>
      <c r="C6" s="12">
        <v>11</v>
      </c>
      <c r="D6" s="131"/>
      <c r="E6" s="14">
        <f t="shared" si="0"/>
        <v>24</v>
      </c>
      <c r="F6" s="15">
        <f t="shared" si="1"/>
        <v>0.3142857142857143</v>
      </c>
    </row>
    <row r="7" spans="1:6" ht="15">
      <c r="A7" s="130"/>
      <c r="B7" s="143" t="s">
        <v>194</v>
      </c>
      <c r="C7" s="12">
        <v>22</v>
      </c>
      <c r="D7" s="131"/>
      <c r="E7" s="14">
        <f t="shared" si="0"/>
        <v>13</v>
      </c>
      <c r="F7" s="15">
        <f t="shared" si="1"/>
        <v>0.6285714285714286</v>
      </c>
    </row>
    <row r="8" spans="1:6" ht="15">
      <c r="A8" s="130"/>
      <c r="B8" s="143"/>
      <c r="C8" s="12"/>
      <c r="D8" s="131"/>
      <c r="E8" s="14">
        <f t="shared" si="0"/>
        <v>0</v>
      </c>
      <c r="F8" s="15">
        <f t="shared" si="1"/>
        <v>0</v>
      </c>
    </row>
    <row r="9" spans="1:6" ht="15">
      <c r="A9" s="130"/>
      <c r="B9" s="143"/>
      <c r="C9" s="12"/>
      <c r="D9" s="131"/>
      <c r="E9" s="14">
        <f t="shared" si="0"/>
        <v>0</v>
      </c>
      <c r="F9" s="15">
        <f t="shared" si="1"/>
        <v>0</v>
      </c>
    </row>
    <row r="10" spans="1:6" ht="15">
      <c r="A10" s="137"/>
      <c r="B10" s="123"/>
      <c r="C10" s="12"/>
      <c r="D10" s="131"/>
      <c r="E10" s="14">
        <f t="shared" si="0"/>
        <v>0</v>
      </c>
      <c r="F10" s="15">
        <f t="shared" si="1"/>
        <v>0</v>
      </c>
    </row>
    <row r="11" spans="1:6" ht="15">
      <c r="A11" s="137"/>
      <c r="B11" s="144"/>
      <c r="C11" s="12"/>
      <c r="D11" s="131"/>
      <c r="E11" s="14">
        <f t="shared" si="0"/>
        <v>0</v>
      </c>
      <c r="F11" s="15">
        <f t="shared" si="1"/>
        <v>0</v>
      </c>
    </row>
    <row r="12" spans="1:2" ht="15">
      <c r="A12" s="13" t="s">
        <v>195</v>
      </c>
      <c r="B12" s="123">
        <v>3</v>
      </c>
    </row>
    <row r="13" spans="1:2" ht="15">
      <c r="A13" s="13" t="s">
        <v>68</v>
      </c>
      <c r="B13" s="25">
        <f>B12*B3*45</f>
        <v>4725</v>
      </c>
    </row>
    <row r="14" spans="1:2" ht="15">
      <c r="A14" s="13" t="s">
        <v>69</v>
      </c>
      <c r="B14" s="25">
        <f>B13-(SUM(C5:C11)*45)</f>
        <v>1755</v>
      </c>
    </row>
    <row r="15" spans="1:2" ht="15">
      <c r="A15" s="13" t="s">
        <v>62</v>
      </c>
      <c r="B15" s="10">
        <f>(B13-B14)/B13</f>
        <v>0.6285714285714286</v>
      </c>
    </row>
    <row r="16" spans="1:2" s="129" customFormat="1" ht="15">
      <c r="A16" s="126"/>
      <c r="B16" s="127"/>
    </row>
    <row r="17" spans="1:7" s="129" customFormat="1" ht="30">
      <c r="A17" s="126"/>
      <c r="B17" s="32" t="s">
        <v>144</v>
      </c>
      <c r="C17" s="32" t="s">
        <v>145</v>
      </c>
      <c r="E17" s="32" t="s">
        <v>199</v>
      </c>
      <c r="F17" s="32" t="s">
        <v>200</v>
      </c>
      <c r="G17" s="32" t="s">
        <v>100</v>
      </c>
    </row>
    <row r="18" spans="1:7" ht="14.25">
      <c r="A18" s="20" t="s">
        <v>196</v>
      </c>
      <c r="B18" s="145">
        <f>294135</f>
        <v>294135</v>
      </c>
      <c r="C18" s="146">
        <v>9000</v>
      </c>
      <c r="E18" s="133">
        <f>C18/$B$12/45</f>
        <v>66.66666666666667</v>
      </c>
      <c r="F18" s="133">
        <f>C18/(B13-B14)</f>
        <v>3.0303030303030303</v>
      </c>
      <c r="G18" s="24">
        <f>B18/C18</f>
        <v>32.681666666666665</v>
      </c>
    </row>
    <row r="19" spans="1:6" ht="15">
      <c r="A19" s="141" t="s">
        <v>197</v>
      </c>
      <c r="B19" s="134">
        <f>(B18)/(B13-B14)</f>
        <v>99.03535353535354</v>
      </c>
      <c r="C19" s="135"/>
      <c r="D19" s="135"/>
      <c r="E19" s="135"/>
      <c r="F19" s="135"/>
    </row>
    <row r="20" spans="1:2" ht="15">
      <c r="A20" s="20" t="s">
        <v>198</v>
      </c>
      <c r="B20" s="136">
        <f>B19*B13*0.9</f>
        <v>421147.84090909094</v>
      </c>
    </row>
  </sheetData>
  <sheetProtection sheet="1" objects="1" scenarios="1" formatCells="0" formatColumns="0" formatRows="0"/>
  <mergeCells count="1">
    <mergeCell ref="A1:J1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9"/>
  <sheetViews>
    <sheetView showGridLines="0" zoomScale="80" zoomScaleNormal="80" zoomScalePageLayoutView="0" workbookViewId="0" topLeftCell="A1">
      <pane xSplit="17" ySplit="25" topLeftCell="R26" activePane="bottomRight" state="frozen"/>
      <selection pane="topLeft" activeCell="B15" sqref="B15:U15"/>
      <selection pane="topRight" activeCell="B15" sqref="B15:U15"/>
      <selection pane="bottomLeft" activeCell="B15" sqref="B15:U15"/>
      <selection pane="bottomRight" activeCell="D7" sqref="D7:D8"/>
    </sheetView>
  </sheetViews>
  <sheetFormatPr defaultColWidth="11.421875" defaultRowHeight="15"/>
  <cols>
    <col min="1" max="1" width="12.7109375" style="41" customWidth="1"/>
    <col min="2" max="6" width="14.140625" style="41" customWidth="1"/>
    <col min="7" max="7" width="2.28125" style="41" customWidth="1"/>
    <col min="8" max="8" width="21.28125" style="41" customWidth="1"/>
    <col min="9" max="9" width="23.7109375" style="41" customWidth="1"/>
    <col min="10" max="11" width="14.57421875" style="41" customWidth="1"/>
    <col min="12" max="17" width="11.7109375" style="41" customWidth="1"/>
    <col min="18" max="18" width="2.140625" style="41" customWidth="1"/>
    <col min="19" max="16384" width="11.421875" style="41" customWidth="1"/>
  </cols>
  <sheetData>
    <row r="1" spans="1:17" s="148" customFormat="1" ht="25.5" customHeight="1">
      <c r="A1" s="211" t="s">
        <v>178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</row>
    <row r="2" ht="12.75"/>
    <row r="3" spans="1:17" s="52" customFormat="1" ht="22.5" customHeight="1">
      <c r="A3" s="51"/>
      <c r="B3" s="259" t="s">
        <v>133</v>
      </c>
      <c r="C3" s="259"/>
      <c r="D3" s="259"/>
      <c r="E3" s="259"/>
      <c r="F3" s="259"/>
      <c r="G3" s="51"/>
      <c r="H3" s="51"/>
      <c r="I3" s="258" t="s">
        <v>134</v>
      </c>
      <c r="J3" s="258"/>
      <c r="K3" s="258"/>
      <c r="L3" s="258"/>
      <c r="M3" s="258"/>
      <c r="N3" s="258"/>
      <c r="O3" s="258"/>
      <c r="P3" s="258"/>
      <c r="Q3" s="258"/>
    </row>
    <row r="4" spans="1:17" ht="26.25" customHeight="1">
      <c r="A4" s="39"/>
      <c r="B4" s="257" t="s">
        <v>125</v>
      </c>
      <c r="C4" s="257" t="s">
        <v>148</v>
      </c>
      <c r="D4" s="257" t="s">
        <v>126</v>
      </c>
      <c r="E4" s="257" t="s">
        <v>127</v>
      </c>
      <c r="F4" s="257" t="s">
        <v>128</v>
      </c>
      <c r="G4" s="151"/>
      <c r="H4" s="39"/>
      <c r="I4" s="40" t="s">
        <v>79</v>
      </c>
      <c r="J4" s="243" t="s">
        <v>80</v>
      </c>
      <c r="K4" s="243"/>
      <c r="L4" s="243" t="s">
        <v>81</v>
      </c>
      <c r="M4" s="243"/>
      <c r="N4" s="243"/>
      <c r="O4" s="243" t="s">
        <v>82</v>
      </c>
      <c r="P4" s="243"/>
      <c r="Q4" s="243"/>
    </row>
    <row r="5" spans="1:17" ht="26.25" customHeight="1">
      <c r="A5" s="42"/>
      <c r="B5" s="257"/>
      <c r="C5" s="257"/>
      <c r="D5" s="257"/>
      <c r="E5" s="257"/>
      <c r="F5" s="257"/>
      <c r="G5" s="151"/>
      <c r="H5" s="156"/>
      <c r="I5" s="244" t="s">
        <v>123</v>
      </c>
      <c r="J5" s="244" t="s">
        <v>124</v>
      </c>
      <c r="K5" s="245" t="s">
        <v>123</v>
      </c>
      <c r="L5" s="245" t="s">
        <v>124</v>
      </c>
      <c r="M5" s="246" t="s">
        <v>147</v>
      </c>
      <c r="N5" s="247" t="s">
        <v>123</v>
      </c>
      <c r="O5" s="247" t="s">
        <v>124</v>
      </c>
      <c r="P5" s="248" t="s">
        <v>147</v>
      </c>
      <c r="Q5" s="249" t="s">
        <v>123</v>
      </c>
    </row>
    <row r="6" spans="1:17" ht="26.25" customHeight="1">
      <c r="A6" s="42"/>
      <c r="B6" s="257"/>
      <c r="C6" s="257"/>
      <c r="D6" s="257"/>
      <c r="E6" s="257"/>
      <c r="F6" s="257"/>
      <c r="G6" s="151"/>
      <c r="H6" s="156"/>
      <c r="I6" s="244"/>
      <c r="J6" s="244"/>
      <c r="K6" s="245"/>
      <c r="L6" s="245"/>
      <c r="M6" s="246"/>
      <c r="N6" s="247"/>
      <c r="O6" s="247"/>
      <c r="P6" s="248"/>
      <c r="Q6" s="249"/>
    </row>
    <row r="7" spans="1:17" ht="13.5">
      <c r="A7" s="252" t="s">
        <v>83</v>
      </c>
      <c r="B7" s="250">
        <v>20000</v>
      </c>
      <c r="C7" s="251">
        <v>2000</v>
      </c>
      <c r="D7" s="251">
        <v>200</v>
      </c>
      <c r="E7" s="251">
        <v>500</v>
      </c>
      <c r="F7" s="261">
        <f>D7*0.25</f>
        <v>50</v>
      </c>
      <c r="G7" s="55"/>
      <c r="H7" s="57" t="s">
        <v>129</v>
      </c>
      <c r="I7" s="43">
        <v>23</v>
      </c>
      <c r="J7" s="43">
        <v>23</v>
      </c>
      <c r="K7" s="43">
        <v>23</v>
      </c>
      <c r="L7" s="43">
        <v>23</v>
      </c>
      <c r="M7" s="43">
        <v>46</v>
      </c>
      <c r="N7" s="43">
        <v>23</v>
      </c>
      <c r="O7" s="43">
        <v>23</v>
      </c>
      <c r="P7" s="43">
        <v>46</v>
      </c>
      <c r="Q7" s="43">
        <v>23</v>
      </c>
    </row>
    <row r="8" spans="1:17" ht="13.5">
      <c r="A8" s="253"/>
      <c r="B8" s="250"/>
      <c r="C8" s="251"/>
      <c r="D8" s="251"/>
      <c r="E8" s="251"/>
      <c r="F8" s="261"/>
      <c r="G8" s="55"/>
      <c r="H8" s="57" t="s">
        <v>131</v>
      </c>
      <c r="I8" s="45">
        <f>E7*I7</f>
        <v>11500</v>
      </c>
      <c r="J8" s="45">
        <f>E7*J7</f>
        <v>11500</v>
      </c>
      <c r="K8" s="45">
        <f>F7*K7</f>
        <v>1150</v>
      </c>
      <c r="L8" s="45">
        <f>F7*L7</f>
        <v>1150</v>
      </c>
      <c r="M8" s="45">
        <f>E7*M7</f>
        <v>23000</v>
      </c>
      <c r="N8" s="45">
        <f>F7*N7</f>
        <v>1150</v>
      </c>
      <c r="O8" s="45">
        <f>F7*O7</f>
        <v>1150</v>
      </c>
      <c r="P8" s="45">
        <f>F7*P7</f>
        <v>2300</v>
      </c>
      <c r="Q8" s="45">
        <f>F7*Q7</f>
        <v>1150</v>
      </c>
    </row>
    <row r="9" spans="1:17" s="52" customFormat="1" ht="8.25" customHeight="1">
      <c r="A9" s="159"/>
      <c r="B9" s="160"/>
      <c r="C9" s="161"/>
      <c r="D9" s="161"/>
      <c r="E9" s="161"/>
      <c r="F9" s="55"/>
      <c r="G9" s="55"/>
      <c r="H9" s="56"/>
      <c r="I9" s="55"/>
      <c r="J9" s="55"/>
      <c r="K9" s="55"/>
      <c r="L9" s="55"/>
      <c r="M9" s="55"/>
      <c r="N9" s="55"/>
      <c r="O9" s="55"/>
      <c r="P9" s="55"/>
      <c r="Q9" s="55"/>
    </row>
    <row r="10" spans="1:17" ht="13.5">
      <c r="A10" s="242" t="s">
        <v>30</v>
      </c>
      <c r="B10" s="250">
        <v>1000</v>
      </c>
      <c r="C10" s="251">
        <v>850</v>
      </c>
      <c r="D10" s="251">
        <v>150</v>
      </c>
      <c r="E10" s="251">
        <f>C10*0.25</f>
        <v>212.5</v>
      </c>
      <c r="F10" s="261">
        <f>D10*0.25</f>
        <v>37.5</v>
      </c>
      <c r="G10" s="55"/>
      <c r="H10" s="57" t="s">
        <v>129</v>
      </c>
      <c r="I10" s="44">
        <v>25</v>
      </c>
      <c r="J10" s="44">
        <v>25</v>
      </c>
      <c r="K10" s="44">
        <v>25</v>
      </c>
      <c r="L10" s="44">
        <v>25</v>
      </c>
      <c r="M10" s="44">
        <v>30</v>
      </c>
      <c r="N10" s="44">
        <v>25</v>
      </c>
      <c r="O10" s="44">
        <v>25</v>
      </c>
      <c r="P10" s="44">
        <v>30</v>
      </c>
      <c r="Q10" s="44">
        <v>25</v>
      </c>
    </row>
    <row r="11" spans="1:17" ht="13.5">
      <c r="A11" s="242"/>
      <c r="B11" s="250"/>
      <c r="C11" s="251"/>
      <c r="D11" s="251"/>
      <c r="E11" s="251"/>
      <c r="F11" s="261"/>
      <c r="G11" s="55"/>
      <c r="H11" s="57" t="s">
        <v>132</v>
      </c>
      <c r="I11" s="45">
        <f>E10*I10</f>
        <v>5312.5</v>
      </c>
      <c r="J11" s="45">
        <f>E10*J10</f>
        <v>5312.5</v>
      </c>
      <c r="K11" s="45">
        <f>F10*K10</f>
        <v>937.5</v>
      </c>
      <c r="L11" s="45">
        <f>F10*L10</f>
        <v>937.5</v>
      </c>
      <c r="M11" s="45">
        <f>E10*M10</f>
        <v>6375</v>
      </c>
      <c r="N11" s="45">
        <f>F10*N10</f>
        <v>937.5</v>
      </c>
      <c r="O11" s="45">
        <f>F10*O10</f>
        <v>937.5</v>
      </c>
      <c r="P11" s="45">
        <f>F10*P10</f>
        <v>1125</v>
      </c>
      <c r="Q11" s="45">
        <f>F10*Q10</f>
        <v>937.5</v>
      </c>
    </row>
    <row r="12" spans="1:17" s="52" customFormat="1" ht="15">
      <c r="A12" s="53"/>
      <c r="B12" s="54"/>
      <c r="C12" s="55"/>
      <c r="D12" s="55"/>
      <c r="E12" s="55"/>
      <c r="F12" s="55"/>
      <c r="G12" s="55"/>
      <c r="H12" s="56"/>
      <c r="I12" s="55"/>
      <c r="J12" s="55"/>
      <c r="K12" s="55"/>
      <c r="L12" s="55"/>
      <c r="M12" s="55"/>
      <c r="N12" s="55"/>
      <c r="O12" s="55"/>
      <c r="P12" s="55"/>
      <c r="Q12" s="55"/>
    </row>
    <row r="13" spans="1:17" ht="12.75">
      <c r="A13" s="58"/>
      <c r="B13" s="46"/>
      <c r="C13" s="47"/>
      <c r="D13" s="47"/>
      <c r="E13" s="47"/>
      <c r="F13" s="47"/>
      <c r="G13" s="152"/>
      <c r="H13" s="50" t="s">
        <v>130</v>
      </c>
      <c r="I13" s="45">
        <f aca="true" t="shared" si="0" ref="I13:Q13">SUM(I8:I11)</f>
        <v>16837.5</v>
      </c>
      <c r="J13" s="45">
        <f t="shared" si="0"/>
        <v>16837.5</v>
      </c>
      <c r="K13" s="45">
        <f t="shared" si="0"/>
        <v>2112.5</v>
      </c>
      <c r="L13" s="45">
        <f t="shared" si="0"/>
        <v>2112.5</v>
      </c>
      <c r="M13" s="45">
        <f t="shared" si="0"/>
        <v>29405</v>
      </c>
      <c r="N13" s="45">
        <f t="shared" si="0"/>
        <v>2112.5</v>
      </c>
      <c r="O13" s="45">
        <f t="shared" si="0"/>
        <v>2112.5</v>
      </c>
      <c r="P13" s="45">
        <f t="shared" si="0"/>
        <v>3455</v>
      </c>
      <c r="Q13" s="45">
        <f t="shared" si="0"/>
        <v>2112.5</v>
      </c>
    </row>
    <row r="14" spans="1:17" s="156" customFormat="1" ht="12.75">
      <c r="A14" s="157"/>
      <c r="B14" s="39"/>
      <c r="C14" s="39"/>
      <c r="D14" s="39"/>
      <c r="E14" s="39"/>
      <c r="F14" s="155"/>
      <c r="G14" s="153"/>
      <c r="H14" s="154"/>
      <c r="I14" s="154"/>
      <c r="J14" s="154"/>
      <c r="K14" s="154"/>
      <c r="L14" s="154"/>
      <c r="M14" s="154"/>
      <c r="N14" s="158"/>
      <c r="O14" s="158"/>
      <c r="P14" s="158"/>
      <c r="Q14" s="154"/>
    </row>
    <row r="15" spans="1:17" ht="12.75">
      <c r="A15" s="59"/>
      <c r="B15" s="46"/>
      <c r="C15" s="46"/>
      <c r="D15" s="46"/>
      <c r="E15" s="46"/>
      <c r="F15" s="48"/>
      <c r="G15" s="153"/>
      <c r="H15" s="50" t="s">
        <v>136</v>
      </c>
      <c r="I15" s="49">
        <f>I13</f>
        <v>16837.5</v>
      </c>
      <c r="J15" s="256">
        <f>SUM(J13:K13)</f>
        <v>18950</v>
      </c>
      <c r="K15" s="256"/>
      <c r="L15" s="256">
        <f>SUM(L13:N13)</f>
        <v>33630</v>
      </c>
      <c r="M15" s="256"/>
      <c r="N15" s="256"/>
      <c r="O15" s="256">
        <f>SUM(O13:Q13)</f>
        <v>7680</v>
      </c>
      <c r="P15" s="256"/>
      <c r="Q15" s="256"/>
    </row>
    <row r="16" spans="1:17" ht="25.5">
      <c r="A16" s="47"/>
      <c r="B16" s="46"/>
      <c r="C16" s="46"/>
      <c r="D16" s="46"/>
      <c r="E16" s="46"/>
      <c r="F16" s="48"/>
      <c r="G16" s="153"/>
      <c r="H16" s="50" t="s">
        <v>149</v>
      </c>
      <c r="I16" s="162">
        <f>I13*25%</f>
        <v>4209.375</v>
      </c>
      <c r="J16" s="255">
        <f>(0.25*(K13))</f>
        <v>528.125</v>
      </c>
      <c r="K16" s="255"/>
      <c r="L16" s="255">
        <f>(0.25*(M11+(M8*0.5)+N13))</f>
        <v>4996.875</v>
      </c>
      <c r="M16" s="255"/>
      <c r="N16" s="255"/>
      <c r="O16" s="255">
        <f>(0.25*(P11+(P8*0.5)+Q13))</f>
        <v>1096.875</v>
      </c>
      <c r="P16" s="255"/>
      <c r="Q16" s="255"/>
    </row>
    <row r="17" spans="1:17" ht="12.75">
      <c r="A17" s="47"/>
      <c r="B17" s="46"/>
      <c r="C17" s="46"/>
      <c r="D17" s="46"/>
      <c r="E17" s="46"/>
      <c r="F17" s="48"/>
      <c r="G17" s="153"/>
      <c r="H17" s="50" t="s">
        <v>135</v>
      </c>
      <c r="I17" s="49">
        <f>I16*62%</f>
        <v>2609.8125</v>
      </c>
      <c r="J17" s="256">
        <f>J16*62%</f>
        <v>327.4375</v>
      </c>
      <c r="K17" s="256"/>
      <c r="L17" s="256">
        <f>L16*62%</f>
        <v>3098.0625</v>
      </c>
      <c r="M17" s="256"/>
      <c r="N17" s="256"/>
      <c r="O17" s="256">
        <f>O16*62%</f>
        <v>680.0625</v>
      </c>
      <c r="P17" s="256"/>
      <c r="Q17" s="256"/>
    </row>
    <row r="18" spans="1:17" s="156" customFormat="1" ht="12.75">
      <c r="A18" s="154"/>
      <c r="B18" s="39"/>
      <c r="C18" s="39"/>
      <c r="D18" s="39"/>
      <c r="E18" s="39"/>
      <c r="F18" s="155"/>
      <c r="G18" s="153"/>
      <c r="H18" s="155"/>
      <c r="I18" s="154"/>
      <c r="J18" s="254"/>
      <c r="K18" s="254"/>
      <c r="L18" s="254"/>
      <c r="M18" s="254"/>
      <c r="N18" s="254"/>
      <c r="O18" s="254"/>
      <c r="P18" s="254"/>
      <c r="Q18" s="254"/>
    </row>
    <row r="19" spans="7:17" ht="30">
      <c r="G19" s="52"/>
      <c r="H19" s="149" t="s">
        <v>41</v>
      </c>
      <c r="I19" s="150">
        <f>I15-(I16+I17)</f>
        <v>10018.3125</v>
      </c>
      <c r="J19" s="260">
        <f>J15-(J16+J17)</f>
        <v>18094.4375</v>
      </c>
      <c r="K19" s="260"/>
      <c r="L19" s="260">
        <f>L15-(L16+L17)</f>
        <v>25535.0625</v>
      </c>
      <c r="M19" s="260"/>
      <c r="N19" s="260"/>
      <c r="O19" s="260">
        <f>O15-(O16+O17)</f>
        <v>5903.0625</v>
      </c>
      <c r="P19" s="260"/>
      <c r="Q19" s="260"/>
    </row>
  </sheetData>
  <sheetProtection sheet="1" objects="1" scenarios="1" formatCells="0" formatColumns="0" formatRows="0"/>
  <mergeCells count="47">
    <mergeCell ref="I3:Q3"/>
    <mergeCell ref="B3:F3"/>
    <mergeCell ref="J19:K19"/>
    <mergeCell ref="L19:N19"/>
    <mergeCell ref="O19:Q19"/>
    <mergeCell ref="E4:E6"/>
    <mergeCell ref="F4:F6"/>
    <mergeCell ref="E10:E11"/>
    <mergeCell ref="F10:F11"/>
    <mergeCell ref="F7:F8"/>
    <mergeCell ref="A1:Q1"/>
    <mergeCell ref="J18:K18"/>
    <mergeCell ref="L18:N18"/>
    <mergeCell ref="O18:Q18"/>
    <mergeCell ref="J16:K16"/>
    <mergeCell ref="L16:N16"/>
    <mergeCell ref="O16:Q16"/>
    <mergeCell ref="J17:K17"/>
    <mergeCell ref="L17:N17"/>
    <mergeCell ref="O17:Q17"/>
    <mergeCell ref="J15:K15"/>
    <mergeCell ref="L15:N15"/>
    <mergeCell ref="O15:Q15"/>
    <mergeCell ref="B4:B6"/>
    <mergeCell ref="C4:C6"/>
    <mergeCell ref="D4:D6"/>
    <mergeCell ref="A7:A8"/>
    <mergeCell ref="B7:B8"/>
    <mergeCell ref="C7:C8"/>
    <mergeCell ref="D7:D8"/>
    <mergeCell ref="E7:E8"/>
    <mergeCell ref="A10:A11"/>
    <mergeCell ref="O4:Q4"/>
    <mergeCell ref="L4:N4"/>
    <mergeCell ref="J4:K4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B10:B11"/>
    <mergeCell ref="C10:C11"/>
    <mergeCell ref="D10:D11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="85" zoomScaleNormal="85" zoomScalePageLayoutView="0" workbookViewId="0" topLeftCell="A1">
      <pane xSplit="7" ySplit="23" topLeftCell="O24" activePane="bottomRight" state="frozen"/>
      <selection pane="topLeft" activeCell="B15" sqref="B15:U15"/>
      <selection pane="topRight" activeCell="B15" sqref="B15:U15"/>
      <selection pane="bottomLeft" activeCell="B15" sqref="B15:U15"/>
      <selection pane="bottomRight" activeCell="B16" sqref="B16"/>
    </sheetView>
  </sheetViews>
  <sheetFormatPr defaultColWidth="11.421875" defaultRowHeight="15"/>
  <cols>
    <col min="1" max="1" width="81.421875" style="0" customWidth="1"/>
    <col min="2" max="2" width="30.8515625" style="0" customWidth="1"/>
    <col min="3" max="4" width="23.28125" style="0" customWidth="1"/>
    <col min="5" max="5" width="26.140625" style="0" customWidth="1"/>
    <col min="6" max="6" width="24.421875" style="0" customWidth="1"/>
    <col min="8" max="8" width="4.00390625" style="0" customWidth="1"/>
  </cols>
  <sheetData>
    <row r="1" spans="1:6" ht="25.5" customHeight="1">
      <c r="A1" s="211" t="s">
        <v>175</v>
      </c>
      <c r="B1" s="211"/>
      <c r="C1" s="211"/>
      <c r="D1" s="211"/>
      <c r="E1" s="211"/>
      <c r="F1" s="211"/>
    </row>
    <row r="2" spans="1:6" s="16" customFormat="1" ht="15.75">
      <c r="A2" s="21"/>
      <c r="B2" s="21"/>
      <c r="C2" s="21"/>
      <c r="D2" s="21"/>
      <c r="E2" s="21"/>
      <c r="F2" s="21"/>
    </row>
    <row r="3" spans="1:6" ht="30">
      <c r="A3" s="139" t="s">
        <v>76</v>
      </c>
      <c r="B3" s="171">
        <v>756714</v>
      </c>
      <c r="E3" s="17" t="s">
        <v>41</v>
      </c>
      <c r="F3" s="18">
        <f>SUM(B16:B16)</f>
        <v>38704.28</v>
      </c>
    </row>
    <row r="4" spans="1:2" ht="14.25">
      <c r="A4" s="138" t="s">
        <v>201</v>
      </c>
      <c r="B4" s="171">
        <v>12106.95</v>
      </c>
    </row>
    <row r="5" spans="1:2" ht="15">
      <c r="A5" s="163" t="s">
        <v>73</v>
      </c>
      <c r="B5" s="171">
        <v>6073.33</v>
      </c>
    </row>
    <row r="6" spans="1:2" ht="14.25">
      <c r="A6" s="163" t="s">
        <v>18</v>
      </c>
      <c r="B6" s="164">
        <f>(B4+B5)/B3</f>
        <v>0.0240252988579569</v>
      </c>
    </row>
    <row r="7" spans="1:2" ht="14.25">
      <c r="A7" s="163" t="s">
        <v>74</v>
      </c>
      <c r="B7" s="171">
        <v>30265</v>
      </c>
    </row>
    <row r="8" spans="1:2" ht="15">
      <c r="A8" s="163" t="s">
        <v>75</v>
      </c>
      <c r="B8" s="172">
        <v>16235</v>
      </c>
    </row>
    <row r="9" spans="1:3" ht="14.25">
      <c r="A9" s="139" t="s">
        <v>77</v>
      </c>
      <c r="B9" s="165">
        <f>IF(B5+B7+B4&gt;0,(B4+B5+B7),0)</f>
        <v>48445.28</v>
      </c>
      <c r="C9" s="19"/>
    </row>
    <row r="10" spans="1:5" ht="14.25">
      <c r="A10" s="139" t="s">
        <v>78</v>
      </c>
      <c r="B10" s="166">
        <f>IF(B8&gt;0,B9/B8,0)</f>
        <v>2.9840024638127502</v>
      </c>
      <c r="C10" s="19"/>
      <c r="D10" s="19"/>
      <c r="E10" s="19"/>
    </row>
    <row r="11" spans="1:2" ht="15">
      <c r="A11" s="23"/>
      <c r="B11" s="23"/>
    </row>
    <row r="12" spans="1:2" ht="32.25" customHeight="1" thickBot="1">
      <c r="A12" s="169" t="s">
        <v>150</v>
      </c>
      <c r="B12" s="5">
        <v>0.6</v>
      </c>
    </row>
    <row r="13" spans="1:2" ht="32.25" customHeight="1" thickBot="1" thickTop="1">
      <c r="A13" s="169" t="s">
        <v>151</v>
      </c>
      <c r="B13" s="5">
        <v>1.33</v>
      </c>
    </row>
    <row r="14" spans="1:2" ht="32.25" customHeight="1" thickBot="1" thickTop="1">
      <c r="A14" s="170" t="s">
        <v>152</v>
      </c>
      <c r="B14" s="6">
        <v>0.013</v>
      </c>
    </row>
    <row r="15" spans="1:2" ht="15.75" thickTop="1">
      <c r="A15" s="23"/>
      <c r="B15" s="23"/>
    </row>
    <row r="16" spans="1:2" ht="14.25">
      <c r="A16" s="167" t="s">
        <v>19</v>
      </c>
      <c r="B16" s="168">
        <f>(B10-B12)*B8</f>
        <v>38704.28</v>
      </c>
    </row>
    <row r="17" spans="1:2" ht="15">
      <c r="A17" s="23"/>
      <c r="B17" s="23"/>
    </row>
    <row r="18" spans="1:2" ht="15">
      <c r="A18" s="22"/>
      <c r="B18" s="23"/>
    </row>
    <row r="19" spans="1:2" ht="15">
      <c r="A19" s="23"/>
      <c r="B19" s="23"/>
    </row>
  </sheetData>
  <sheetProtection sheet="1" objects="1" scenarios="1" formatCells="0" formatColumns="0" formatRows="0"/>
  <mergeCells count="1">
    <mergeCell ref="A1:F1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2"/>
  <sheetViews>
    <sheetView showGridLines="0" zoomScale="75" zoomScaleNormal="75" zoomScalePageLayoutView="0" workbookViewId="0" topLeftCell="A1">
      <selection activeCell="B21" sqref="B21"/>
    </sheetView>
  </sheetViews>
  <sheetFormatPr defaultColWidth="11.421875" defaultRowHeight="15"/>
  <cols>
    <col min="1" max="1" width="41.57421875" style="0" customWidth="1"/>
    <col min="2" max="3" width="28.28125" style="0" customWidth="1"/>
    <col min="4" max="4" width="23.28125" style="0" customWidth="1"/>
    <col min="5" max="5" width="26.140625" style="0" customWidth="1"/>
    <col min="6" max="6" width="24.421875" style="0" customWidth="1"/>
  </cols>
  <sheetData>
    <row r="1" spans="1:9" ht="25.5" customHeight="1">
      <c r="A1" s="211" t="s">
        <v>177</v>
      </c>
      <c r="B1" s="211"/>
      <c r="C1" s="211"/>
      <c r="D1" s="211"/>
      <c r="E1" s="211"/>
      <c r="F1" s="211"/>
      <c r="G1" s="211"/>
      <c r="H1" s="211"/>
      <c r="I1" s="211"/>
    </row>
    <row r="3" spans="2:3" ht="15">
      <c r="B3" s="190" t="s">
        <v>182</v>
      </c>
      <c r="C3" s="190" t="s">
        <v>183</v>
      </c>
    </row>
    <row r="4" spans="1:3" ht="14.25">
      <c r="A4" s="191" t="s">
        <v>186</v>
      </c>
      <c r="B4" s="199">
        <v>3</v>
      </c>
      <c r="C4" s="198">
        <v>10000</v>
      </c>
    </row>
    <row r="5" spans="1:3" ht="14.25">
      <c r="A5" s="191" t="s">
        <v>187</v>
      </c>
      <c r="B5" s="199">
        <v>1</v>
      </c>
      <c r="C5" s="198">
        <v>1000</v>
      </c>
    </row>
    <row r="6" spans="1:3" ht="15">
      <c r="A6" s="191" t="s">
        <v>188</v>
      </c>
      <c r="B6" s="199">
        <v>2</v>
      </c>
      <c r="C6" s="198">
        <v>20000</v>
      </c>
    </row>
    <row r="7" spans="1:3" ht="15">
      <c r="A7" s="191" t="s">
        <v>184</v>
      </c>
      <c r="B7" s="199">
        <v>1</v>
      </c>
      <c r="C7" s="198">
        <v>1000</v>
      </c>
    </row>
    <row r="8" spans="1:3" ht="15">
      <c r="A8" s="191" t="s">
        <v>189</v>
      </c>
      <c r="B8" s="199">
        <v>3</v>
      </c>
      <c r="C8" s="198">
        <v>1000000</v>
      </c>
    </row>
    <row r="9" spans="1:3" ht="15">
      <c r="A9" s="191" t="s">
        <v>185</v>
      </c>
      <c r="B9" s="199">
        <v>5</v>
      </c>
      <c r="C9" s="198">
        <v>9000</v>
      </c>
    </row>
    <row r="10" spans="1:3" ht="28.5">
      <c r="A10" s="192" t="s">
        <v>190</v>
      </c>
      <c r="B10" s="199">
        <v>7</v>
      </c>
      <c r="C10" s="198">
        <v>30000</v>
      </c>
    </row>
    <row r="12" spans="1:2" ht="14.25">
      <c r="A12" s="193" t="s">
        <v>20</v>
      </c>
      <c r="B12" s="196">
        <f>IF((B4+B5+B6+B8)&gt;0,B10/(B4+B5+B6+B8),0)</f>
        <v>0.7777777777777778</v>
      </c>
    </row>
    <row r="13" spans="1:2" ht="15">
      <c r="A13" s="193" t="s">
        <v>21</v>
      </c>
      <c r="B13" s="196">
        <f>IF(B6&gt;0,B7/B6,0)</f>
        <v>0.5</v>
      </c>
    </row>
    <row r="14" spans="1:2" ht="15">
      <c r="A14" s="193" t="s">
        <v>22</v>
      </c>
      <c r="B14" s="196">
        <f>IF(B8&gt;0,B9/B8,0)</f>
        <v>1.6666666666666667</v>
      </c>
    </row>
    <row r="16" spans="1:2" ht="15" thickBot="1">
      <c r="A16" s="194" t="s">
        <v>23</v>
      </c>
      <c r="B16" s="4">
        <v>0.46</v>
      </c>
    </row>
    <row r="17" spans="1:2" ht="16.5" thickBot="1" thickTop="1">
      <c r="A17" s="194" t="s">
        <v>24</v>
      </c>
      <c r="B17" s="4">
        <v>1</v>
      </c>
    </row>
    <row r="18" spans="1:2" ht="16.5" thickBot="1" thickTop="1">
      <c r="A18" s="194" t="s">
        <v>25</v>
      </c>
      <c r="B18" s="4">
        <v>0.75</v>
      </c>
    </row>
    <row r="19" ht="15.75" thickTop="1"/>
    <row r="20" spans="1:5" ht="14.25">
      <c r="A20" s="195" t="s">
        <v>26</v>
      </c>
      <c r="B20" s="197">
        <f>IF(B12&lt;B16," ",(B12-B16)*C10)</f>
        <v>9533.333333333334</v>
      </c>
      <c r="D20" s="262" t="s">
        <v>41</v>
      </c>
      <c r="E20" s="263">
        <f>SUM(B20:B22)</f>
        <v>17783.333333333336</v>
      </c>
    </row>
    <row r="21" spans="1:5" ht="14.25">
      <c r="A21" s="195" t="s">
        <v>27</v>
      </c>
      <c r="B21" s="197" t="str">
        <f>IF(B13&lt;B17," ",(B13-B17)*C7)</f>
        <v> </v>
      </c>
      <c r="D21" s="262"/>
      <c r="E21" s="263"/>
    </row>
    <row r="22" spans="1:2" ht="15">
      <c r="A22" s="195" t="s">
        <v>28</v>
      </c>
      <c r="B22" s="197">
        <f>IF(B14&lt;B18," ",(B14-B18)*C9)</f>
        <v>8250</v>
      </c>
    </row>
  </sheetData>
  <sheetProtection sheet="1" objects="1" scenarios="1"/>
  <mergeCells count="3">
    <mergeCell ref="A1:I1"/>
    <mergeCell ref="D20:D21"/>
    <mergeCell ref="E20:E21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Hélène François</dc:creator>
  <cp:keywords/>
  <dc:description/>
  <cp:lastModifiedBy>ROCHE, Marie-Hélène</cp:lastModifiedBy>
  <dcterms:created xsi:type="dcterms:W3CDTF">2012-09-20T13:51:01Z</dcterms:created>
  <dcterms:modified xsi:type="dcterms:W3CDTF">2014-05-22T07:46:37Z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